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230" windowWidth="20310" windowHeight="3915"/>
  </bookViews>
  <sheets>
    <sheet name="Instructions" sheetId="17" r:id="rId1"/>
    <sheet name="Configuration Data" sheetId="19" r:id="rId2"/>
    <sheet name=" Downloads " sheetId="39" r:id="rId3"/>
    <sheet name="Configure Media Gateway" sheetId="47" r:id="rId4"/>
    <sheet name="Configure ME - Pre-Staged SW" sheetId="50" r:id="rId5"/>
    <sheet name="Install SP - No Pre-Staged SW" sheetId="1" r:id="rId6"/>
    <sheet name="Upgrade SVM" sheetId="52" r:id="rId7"/>
    <sheet name="Install ME Template" sheetId="48" r:id="rId8"/>
    <sheet name="Configure SAL Access" sheetId="29" r:id="rId9"/>
    <sheet name="License the System (PLDS)" sheetId="34" r:id="rId10"/>
    <sheet name="Apply Application Updates" sheetId="32" r:id="rId11"/>
    <sheet name="Configure System Manager" sheetId="5" r:id="rId12"/>
    <sheet name="Configure Communication Manager" sheetId="35" r:id="rId13"/>
    <sheet name="Configure Presence Server" sheetId="26" r:id="rId14"/>
    <sheet name="Configure High Availability" sheetId="51" r:id="rId15"/>
    <sheet name="Import ABIT users (optional)" sheetId="41" r:id="rId16"/>
    <sheet name="Configure Series-1000 User" sheetId="22" r:id="rId17"/>
    <sheet name="Configure ADVD User" sheetId="27" r:id="rId18"/>
    <sheet name="Configure 1XC SIP User" sheetId="28" r:id="rId19"/>
    <sheet name="Configure AAC SE Integration " sheetId="49" r:id="rId20"/>
    <sheet name="Review Notes" sheetId="31" r:id="rId21"/>
  </sheets>
  <externalReferences>
    <externalReference r:id="rId22"/>
    <externalReference r:id="rId23"/>
  </externalReferences>
  <definedNames>
    <definedName name="ADMINPASS">'Configuration Data'!$B$21</definedName>
    <definedName name="ADMINPASSCONF">'Configuration Data'!$B$26</definedName>
    <definedName name="AES_BASH_PATCH_DNLDID">'Configuration Data'!$B$142</definedName>
    <definedName name="AES_BASH_PATCH_FILENAME">'Configuration Data'!$B$143</definedName>
    <definedName name="AES_LSU_PATCH_DNLDID">'Configuration Data'!$B$133</definedName>
    <definedName name="AES_LSU_PATCH_FILENAME">'Configuration Data'!$B$134</definedName>
    <definedName name="AES_LSU_PATCH1_DNLDID">'Configuration Data'!#REF!</definedName>
    <definedName name="AES_LSU_PATCH1_FILENAME">'Configuration Data'!#REF!</definedName>
    <definedName name="AES_LSU_PATCH2_DNLDID">'Configuration Data'!#REF!</definedName>
    <definedName name="AES_LSU_PATCH2_FILENAME">'Configuration Data'!#REF!</definedName>
    <definedName name="AES_LSU_PATCH3_DNLDID">'Configuration Data'!$B$136</definedName>
    <definedName name="AES_LSU_PATCH3_FILENAME">'Configuration Data'!$B$137</definedName>
    <definedName name="AES_PATCH_DNLDID">'Configuration Data'!$B$130</definedName>
    <definedName name="AES_PATCH_FILENAME">'Configuration Data'!$B$131</definedName>
    <definedName name="AES_SUPER_PATCH_DNLDID">'Configuration Data'!$B$139</definedName>
    <definedName name="AES_SUPER_PATCH_FILENAME">'Configuration Data'!$B$140</definedName>
    <definedName name="AESHOSTNAME">'Configuration Data'!$B$60</definedName>
    <definedName name="AESIP">'Configuration Data'!$B$59</definedName>
    <definedName name="BRIDGEIPADDR">'Configuration Data'!$B$92</definedName>
    <definedName name="BRIDGEPILOTMAX">'Configuration Data'!$B$95</definedName>
    <definedName name="BRIDGEPILOTMIN">'Configuration Data'!$B$94</definedName>
    <definedName name="BRIDGEPILOTNUM">'Configuration Data'!$B$93</definedName>
    <definedName name="CDOMDOMAIN">'Configuration Data'!#REF!</definedName>
    <definedName name="CDOMFQDN">'Configuration Data'!$B$12</definedName>
    <definedName name="CDOMHOSTNAME">'Configuration Data'!$B$11</definedName>
    <definedName name="CDOMIP">'Configuration Data'!$B$13</definedName>
    <definedName name="CM_KSP_DNLDID">'Configuration Data'!$B$149</definedName>
    <definedName name="CM_KSP_FILENAME">'Configuration Data'!$B$150</definedName>
    <definedName name="CM_PATCH_DNLDID">'Configuration Data'!$B$146</definedName>
    <definedName name="CM_PATCH_FILENAME">'Configuration Data'!$B$147</definedName>
    <definedName name="CM_SSP_DNLDID">'Configuration Data'!$B$152</definedName>
    <definedName name="CM_SSP_FILENAME">'Configuration Data'!$B$153</definedName>
    <definedName name="CMHOSTNAME">'Configuration Data'!$B$49</definedName>
    <definedName name="CMIP">'Configuration Data'!$B$48</definedName>
    <definedName name="CMM_PATCH_DNLDID">'Configuration Data'!$B$156</definedName>
    <definedName name="CMM_PATCH_FILENAME">'Configuration Data'!$B$157</definedName>
    <definedName name="COUNTRY">'Configuration Data'!$B$65</definedName>
    <definedName name="CUSTPASS">'Configuration Data'!$B$22</definedName>
    <definedName name="CUSTPASSCONF">'Configuration Data'!$B$27</definedName>
    <definedName name="CUSTPASSWORD">'Configuration Data'!$B$63</definedName>
    <definedName name="CUSTUSERNAME">'Configuration Data'!$B$62</definedName>
    <definedName name="DHCP_ENDING">'Configuration Data'!$B$83</definedName>
    <definedName name="DHCP_STARTING">'Configuration Data'!$B$82</definedName>
    <definedName name="DIALPLANLENGTH">'Configuration Data'!$B$66</definedName>
    <definedName name="DOMZERODEFGW">'Configuration Data'!$B$10</definedName>
    <definedName name="DOMZERODOMAIN">'Configuration Data'!#REF!</definedName>
    <definedName name="DOMZEROFQDN">'Configuration Data'!$B$5</definedName>
    <definedName name="DOMZEROHOSTNAME">'Configuration Data'!$B$4</definedName>
    <definedName name="DOMZEROIP">'Configuration Data'!$B$8</definedName>
    <definedName name="DOMZERONETMASK">'Configuration Data'!$B$9</definedName>
    <definedName name="ENROLLPASSWD">'Configuration Data'!$B$67</definedName>
    <definedName name="GAS1_FQDN">'Configuration Data'!#REF!</definedName>
    <definedName name="GAS1_IPADDR">'Configuration Data'!#REF!</definedName>
    <definedName name="GAS2_FQDN">'Configuration Data'!#REF!</definedName>
    <definedName name="GAS2_IPADDR">'Configuration Data'!#REF!</definedName>
    <definedName name="GAS3_FQDN">'Configuration Data'!#REF!</definedName>
    <definedName name="GAS3_IPADDR">'Configuration Data'!#REF!</definedName>
    <definedName name="GAS4_FQDN">'Configuration Data'!#REF!</definedName>
    <definedName name="GAS4_IPADDR">'Configuration Data'!#REF!</definedName>
    <definedName name="HTTPSPROXY">'Configuration Data'!$B$19</definedName>
    <definedName name="KEYBDTYPE">'Configuration Data'!$B$3</definedName>
    <definedName name="LDAPPASS">'Configuration Data'!$B$24</definedName>
    <definedName name="LDAPPASSCONF">'Configuration Data'!$B$29</definedName>
    <definedName name="LOCATIONNAME">'Configuration Data'!$B$86</definedName>
    <definedName name="ME_TEMPLATE_1_FILENAME">'Configuration Data'!$B$101</definedName>
    <definedName name="ME_TEMPLATE_2_FILENAME">'Configuration Data'!$B$104</definedName>
    <definedName name="ME_TEMPLATE_3_FILENAME">'Configuration Data'!$B$107</definedName>
    <definedName name="ME_TEMPLATE_DNLDID_1">'Configuration Data'!$B$100</definedName>
    <definedName name="ME_TEMPLATE_DNLDID_2">'Configuration Data'!$B$103</definedName>
    <definedName name="ME_TEMPLATE_DNLDID_3">'Configuration Data'!$B$106</definedName>
    <definedName name="ME_VER" comment="template build version:">"6.2.2.1.2120"</definedName>
    <definedName name="ME_WIZ_DNLDID">'Configuration Data'!$B$109</definedName>
    <definedName name="ME_WIZ_FILENAME">'Configuration Data'!$B$110</definedName>
    <definedName name="MEDGATEWAY">'Configuration Data'!$B$79</definedName>
    <definedName name="MEDIAGWSERNO">'Configuration Data'!$B$75</definedName>
    <definedName name="MEDIAGWTYPE">'Configuration Data'!$B$76</definedName>
    <definedName name="MEDIP">'Configuration Data'!$B$77</definedName>
    <definedName name="MEDMASK">'Configuration Data'!$B$78</definedName>
    <definedName name="NTPSRVRFQDN">'Configuration Data'!$B$18</definedName>
    <definedName name="PRIMARYDNSIP">'Configuration Data'!$B$6</definedName>
    <definedName name="PS_PATCH1_DNLDID">'Configuration Data'!$B$169</definedName>
    <definedName name="PS_PATCH1_FILENAME">'Configuration Data'!$B$170</definedName>
    <definedName name="PS_PATCH10_DNLDID">'[1]Configuration Data'!$B$199</definedName>
    <definedName name="PS_PATCH10_FILENAME">'Configuration Data'!#REF!</definedName>
    <definedName name="PS_PATCH11_DNLDID">'[1]Configuration Data'!$B$202</definedName>
    <definedName name="PS_PATCH11_FILENAME">'Configuration Data'!#REF!</definedName>
    <definedName name="PS_PATCH2_DNLDID">'Configuration Data'!#REF!</definedName>
    <definedName name="PS_PATCH2_FILENAME">'Configuration Data'!#REF!</definedName>
    <definedName name="PS_PATCH3_DNLDID">'Configuration Data'!#REF!</definedName>
    <definedName name="PS_PATCH3_FILENAME">'Configuration Data'!#REF!</definedName>
    <definedName name="PS_PATCH4_DNLDID">'Configuration Data'!#REF!</definedName>
    <definedName name="PS_PATCH4_FILENAME">'Configuration Data'!#REF!</definedName>
    <definedName name="PS_PATCH5_DNLDID">'Configuration Data'!#REF!</definedName>
    <definedName name="PS_PATCH5_FILENAME">'Configuration Data'!#REF!</definedName>
    <definedName name="PS_PATCH6_DNLDID">'Configuration Data'!#REF!</definedName>
    <definedName name="PS_PATCH6_FILENAME">'Configuration Data'!#REF!</definedName>
    <definedName name="PS_PATCH6202_DNLDID">'Configuration Data'!$B$160</definedName>
    <definedName name="PS_PATCH6202_FILENAME">'Configuration Data'!$B$161</definedName>
    <definedName name="PS_PATCH62199_DNLDID">'Configuration Data'!$B$163</definedName>
    <definedName name="PS_PATCH62199_FILENAME">'Configuration Data'!$B$164</definedName>
    <definedName name="PS_PATCH7_DNLDID">'Configuration Data'!#REF!</definedName>
    <definedName name="PS_PATCH7_FILENAME">'Configuration Data'!#REF!</definedName>
    <definedName name="PS_PATCH8_DNLDID">'Configuration Data'!#REF!</definedName>
    <definedName name="PS_PATCH8_FILENAME">'Configuration Data'!#REF!</definedName>
    <definedName name="PS_PATCH9_DNLDID">'[1]Configuration Data'!$B$196</definedName>
    <definedName name="PS_PATCH9_FILENAME">'Configuration Data'!#REF!</definedName>
    <definedName name="PS_ROUTERSERVICENAME">'Configuration Data'!$B$69</definedName>
    <definedName name="PS_SP_DNLDID">'Configuration Data'!$B$166</definedName>
    <definedName name="PS_SP_FILENAME">'Configuration Data'!$B$167</definedName>
    <definedName name="PS6IP">'Configuration Data'!$B$55</definedName>
    <definedName name="PSHOSTNAME">'Configuration Data'!$B$56</definedName>
    <definedName name="ROOTPASS">'Configuration Data'!$B$23</definedName>
    <definedName name="ROOTPASSCONF">'Configuration Data'!$B$28</definedName>
    <definedName name="SAL_GW_Patch_DNLDID">'Configuration Data'!$B$122</definedName>
    <definedName name="SAL_PROXY_FQDN">'Configuration Data'!#REF!</definedName>
    <definedName name="SAL_PROXY_IPADDR">'Configuration Data'!#REF!</definedName>
    <definedName name="SAL_Service_Pack_DNLDID">'Configuration Data'!$B$122</definedName>
    <definedName name="SECONDARYDNSIP">'Configuration Data'!$B$7</definedName>
    <definedName name="SIPDOMAIN">'Configuration Data'!$B$68</definedName>
    <definedName name="SM_PATCH_DNLDID">'Configuration Data'!#REF!</definedName>
    <definedName name="SM_PATCH_FILENAME">'Configuration Data'!#REF!</definedName>
    <definedName name="SM_SP_DNLDID">'Configuration Data'!$B$173</definedName>
    <definedName name="SM_SP_FILENAME">'Configuration Data'!$B$174</definedName>
    <definedName name="SMENTITYIP">'Configuration Data'!$B$54</definedName>
    <definedName name="SMGR_ADC_DNLDID">'Configuration Data'!#REF!</definedName>
    <definedName name="SMGR_ADC_FILENAME">'Configuration Data'!#REF!</definedName>
    <definedName name="SMGR_PATCH_DNLDID">'Configuration Data'!#REF!</definedName>
    <definedName name="SMGR_PATCH_EXE_FILENAME">'Configuration Data'!$B$181</definedName>
    <definedName name="SMGR_PATCH_FILENAME">'Configuration Data'!#REF!</definedName>
    <definedName name="SMGR_PATCH1_DNLDID">'[1]Configuration Data'!$B$219</definedName>
    <definedName name="SMGR_PATCH1_FILENAME">'[1]Configuration Data'!$B$220</definedName>
    <definedName name="SMGR_SP_DNLDID">'Configuration Data'!$B$177</definedName>
    <definedName name="SMGR_SP_FILENAME">'Configuration Data'!$B$178</definedName>
    <definedName name="SMGR_SP_PATCH_DNLDID">'Configuration Data'!#REF!</definedName>
    <definedName name="SMGR_SP_PATCH_EXE_DNLDID">'Configuration Data'!$B$180</definedName>
    <definedName name="SMGRHOSTNAME">'Configuration Data'!$B$58</definedName>
    <definedName name="SMGRIP">'Configuration Data'!$B$57</definedName>
    <definedName name="SMGRUSERPW">'Configuration Data'!$B$64</definedName>
    <definedName name="SMHOSTNAME">'Configuration Data'!$B$53</definedName>
    <definedName name="SMIP">'Configuration Data'!$B$52</definedName>
    <definedName name="SNMP_AUTH_PASS">'Configuration Data'!$B$71</definedName>
    <definedName name="SNMP_PRIV_PASS">'Configuration Data'!$B$72</definedName>
    <definedName name="SNMP_UNPREFIX">'Configuration Data'!$B$70</definedName>
    <definedName name="SP_FP_Patch">"6.3.4.08011.0"</definedName>
    <definedName name="SP_FP4_ISO_FILENAME">'Configuration Data'!$B$114</definedName>
    <definedName name="SP_FP4_ISO_Update">"6.3.7.0.05001"</definedName>
    <definedName name="SP_FP4_PATCH_DNLDID">'Configuration Data'!$B$116</definedName>
    <definedName name="SP_FP4_PATCH_FILENAME">'Configuration Data'!$B$117</definedName>
    <definedName name="SP_FP4_UPGRADE_FILENAME">'[2]Configuration Data'!$B$117</definedName>
    <definedName name="SP_ISO_DNLDID">'Configuration Data'!$B$113</definedName>
    <definedName name="SP_PATCH_DNLDID">'Configuration Data'!$D$116</definedName>
    <definedName name="SP_PATCH_FILENAME">'Configuration Data'!$D$117</definedName>
    <definedName name="SP_Patch_SP_Exe_DNLDID">'Configuration Data'!$B$180</definedName>
    <definedName name="SP_POODLE_PATCH_DNLDID">'[1]Configuration Data'!$B$122</definedName>
    <definedName name="SP_POODLE_PATCH_FILENAME">'[1]Configuration Data'!$B$123</definedName>
    <definedName name="SP_VER">"6.3.0.0.18002"</definedName>
    <definedName name="SP_VER_FP4_ISO">"6.3.7.0.05001"</definedName>
    <definedName name="SPTIMEZONE">'Configuration Data'!$B$17</definedName>
    <definedName name="SRVRDOMAIN">'Configuration Data'!$B$61</definedName>
    <definedName name="SSACS_FQDN">'Configuration Data'!#REF!</definedName>
    <definedName name="SSACS_IPADDR">'Configuration Data'!#REF!</definedName>
    <definedName name="SSARCS_FQDN">'Configuration Data'!#REF!</definedName>
    <definedName name="SSARCS_IPADDR">'Configuration Data'!#REF!</definedName>
    <definedName name="STANBY_DOMZERODOMAIN">'Configuration Data'!$B$33</definedName>
    <definedName name="STANDBY_ADMINPASS">'Configuration Data'!$B$42</definedName>
    <definedName name="STANDBY_CDOMDOMAIN">'Configuration Data'!$B$39</definedName>
    <definedName name="STANDBY_CDOMFQDN">'Configuration Data'!$B$40</definedName>
    <definedName name="STANDBY_CDOMHOSTNAME">'Configuration Data'!$B$38</definedName>
    <definedName name="STANDBY_CDOMIP">'Configuration Data'!$B$41</definedName>
    <definedName name="STANDBY_CUSTPASS">'Configuration Data'!$B$43</definedName>
    <definedName name="STANDBY_DOMZERODEFGW">'Configuration Data'!$B$37</definedName>
    <definedName name="STANDBY_DOMZEROFQDN">'Configuration Data'!$B$34</definedName>
    <definedName name="STANDBY_DOMZEROHOSTNAME">'Configuration Data'!$B$32</definedName>
    <definedName name="STANDBY_DOMZEROIP">'Configuration Data'!$B$35</definedName>
    <definedName name="STANDBY_DOMZERONETMASK">'Configuration Data'!$B$36</definedName>
    <definedName name="STANDBY_KEYBDTYPE">'Configuration Data'!$B$31</definedName>
    <definedName name="STANDBY_LDAPPASS">'Configuration Data'!$B$45</definedName>
    <definedName name="STANDBY_ROOTPASS">'Configuration Data'!$B$44</definedName>
    <definedName name="SVM_DNLDID">'Configuration Data'!$B$119</definedName>
    <definedName name="SVM_Filename">'Configuration Data'!$B$120</definedName>
    <definedName name="SVM_SANITY_PATCH_DNLDID">'Configuration Data'!$B$125</definedName>
    <definedName name="SVM_SANITY_PATCH_FILENAME">'Configuration Data'!$B$126</definedName>
    <definedName name="SVM_Service_Pack_DNLDID">'Configuration Data'!$B$122</definedName>
    <definedName name="SVM_Service_Pack_filename">'Configuration Data'!$B$123</definedName>
    <definedName name="SVMDOMAIN">'Configuration Data'!#REF!</definedName>
    <definedName name="SVMFQDN">'Configuration Data'!$B$15</definedName>
    <definedName name="SVMHOSTNAME">'Configuration Data'!$B$14</definedName>
    <definedName name="SVMIP">'Configuration Data'!$B$16</definedName>
    <definedName name="US_PATCH4_DNLDID">'Configuration Data'!$B$187</definedName>
    <definedName name="US_PATCH4_FILENAME">'Configuration Data'!$B$188</definedName>
    <definedName name="US_PATCH7_DNLDID">'Configuration Data'!$B$190</definedName>
    <definedName name="US_PATCH7_FILENAME">'Configuration Data'!$B$191</definedName>
    <definedName name="US_PATCH9_DNLDID">'Configuration Data'!$B$193</definedName>
    <definedName name="US_PATCH9_FILENAME">'Configuration Data'!$B$194</definedName>
    <definedName name="US_SP_DNLDID">'Configuration Data'!$B$184</definedName>
    <definedName name="US_SP_Filename">'Configuration Data'!$B$185</definedName>
    <definedName name="USERTIMEZONE">'Configuration Data'!$B$89</definedName>
    <definedName name="USHOSTNAME">'Configuration Data'!$B$51</definedName>
    <definedName name="USIP">'Configuration Data'!$B$50</definedName>
  </definedNames>
  <calcPr calcId="145621"/>
</workbook>
</file>

<file path=xl/calcChain.xml><?xml version="1.0" encoding="utf-8"?>
<calcChain xmlns="http://schemas.openxmlformats.org/spreadsheetml/2006/main">
  <c r="C417" i="32" l="1"/>
  <c r="C413" i="32"/>
  <c r="C412" i="32"/>
  <c r="C393" i="32"/>
  <c r="C22" i="32"/>
  <c r="C14" i="32"/>
  <c r="C13" i="32"/>
  <c r="C11" i="32"/>
  <c r="C73" i="32"/>
  <c r="C71" i="32"/>
  <c r="C69" i="32"/>
  <c r="C63" i="32"/>
  <c r="C60" i="32"/>
  <c r="C59" i="32"/>
  <c r="C49" i="39"/>
  <c r="C48" i="39"/>
  <c r="C29" i="39"/>
  <c r="C194" i="19"/>
  <c r="C193" i="19"/>
  <c r="C149" i="19"/>
  <c r="C150" i="19"/>
  <c r="C152" i="19"/>
  <c r="C153" i="19"/>
  <c r="C126" i="19"/>
  <c r="C125" i="19"/>
  <c r="A2" i="17"/>
  <c r="A1" i="17"/>
  <c r="C134" i="32" l="1"/>
  <c r="C405" i="32"/>
  <c r="C401" i="32"/>
  <c r="C400" i="32"/>
  <c r="C371" i="32"/>
  <c r="C370" i="32"/>
  <c r="C368" i="32"/>
  <c r="C366" i="32"/>
  <c r="C360" i="32"/>
  <c r="C357" i="32"/>
  <c r="C356" i="32"/>
  <c r="C349" i="32"/>
  <c r="C345" i="32"/>
  <c r="C344" i="32"/>
  <c r="C341" i="32"/>
  <c r="C340" i="32"/>
  <c r="C330" i="32"/>
  <c r="C145" i="32"/>
  <c r="C124" i="32"/>
  <c r="C49" i="32"/>
  <c r="C45" i="32"/>
  <c r="C44" i="32"/>
  <c r="C37" i="32"/>
  <c r="C34" i="32"/>
  <c r="C30" i="32"/>
  <c r="C29" i="32"/>
  <c r="C47" i="39"/>
  <c r="C43" i="39"/>
  <c r="C34" i="39"/>
  <c r="C32" i="39"/>
  <c r="C28" i="39"/>
  <c r="C191" i="19"/>
  <c r="C190" i="19"/>
  <c r="C188" i="19"/>
  <c r="C187" i="19"/>
  <c r="C185" i="19"/>
  <c r="C184" i="19"/>
  <c r="C181" i="19"/>
  <c r="C180" i="19"/>
  <c r="C178" i="19"/>
  <c r="C177" i="19"/>
  <c r="C174" i="19"/>
  <c r="C173" i="19"/>
  <c r="C143" i="19"/>
  <c r="C142" i="19"/>
  <c r="C140" i="19"/>
  <c r="C139" i="19"/>
  <c r="C137" i="19"/>
  <c r="C136" i="19"/>
  <c r="C134" i="19"/>
  <c r="C133" i="19"/>
  <c r="C123" i="19"/>
  <c r="C122" i="19"/>
  <c r="B114" i="19" l="1"/>
  <c r="C114" i="19" s="1"/>
  <c r="A11" i="17"/>
  <c r="C322" i="32" l="1"/>
  <c r="C323" i="32"/>
  <c r="C301" i="32"/>
  <c r="C338" i="32"/>
  <c r="C336" i="32"/>
  <c r="C327" i="32"/>
  <c r="C326" i="32"/>
  <c r="C40" i="39"/>
  <c r="C39" i="39"/>
  <c r="C164" i="19" l="1"/>
  <c r="C163" i="19"/>
  <c r="C161" i="19"/>
  <c r="C160" i="19"/>
  <c r="C185" i="32" l="1"/>
  <c r="C318" i="32"/>
  <c r="C320" i="32"/>
  <c r="C309" i="32"/>
  <c r="C308" i="32"/>
  <c r="C312" i="32"/>
  <c r="C376" i="32"/>
  <c r="C31" i="39" l="1"/>
  <c r="C33" i="39"/>
  <c r="C89" i="32" l="1"/>
  <c r="C79" i="32"/>
  <c r="C87" i="32"/>
  <c r="C45" i="39"/>
  <c r="C42" i="39"/>
  <c r="C37" i="39"/>
  <c r="C36" i="39"/>
  <c r="C78" i="32"/>
  <c r="C82" i="32"/>
  <c r="C95" i="32"/>
  <c r="C96" i="32"/>
  <c r="C117" i="19" l="1"/>
  <c r="C250" i="32" l="1"/>
  <c r="C246" i="32"/>
  <c r="C245" i="32"/>
  <c r="B101" i="19" l="1"/>
  <c r="C159" i="32"/>
  <c r="C220" i="32" l="1"/>
  <c r="C60" i="1"/>
  <c r="A18" i="50" l="1"/>
  <c r="C154" i="50" l="1"/>
  <c r="C153" i="50"/>
  <c r="C152" i="50"/>
  <c r="C180" i="32" l="1"/>
  <c r="C186" i="32"/>
  <c r="C176" i="32"/>
  <c r="C216" i="32"/>
  <c r="C200" i="32"/>
  <c r="C170" i="19"/>
  <c r="C169" i="19"/>
  <c r="C381" i="32"/>
  <c r="C389" i="32"/>
  <c r="C388" i="32"/>
  <c r="C53" i="1"/>
  <c r="C3" i="52"/>
  <c r="C53" i="39"/>
  <c r="C46" i="39"/>
  <c r="C30" i="39"/>
  <c r="C27" i="39"/>
  <c r="C26" i="39"/>
  <c r="C119" i="19"/>
  <c r="C116" i="19"/>
  <c r="C120" i="19" l="1"/>
  <c r="C224" i="32" l="1"/>
  <c r="C38" i="39" l="1"/>
  <c r="C157" i="19"/>
  <c r="C156" i="19"/>
  <c r="C196" i="32" l="1"/>
  <c r="C211" i="32"/>
  <c r="C149" i="32" l="1"/>
  <c r="C41" i="39"/>
  <c r="C147" i="19" l="1"/>
  <c r="C7" i="26" l="1"/>
  <c r="C110" i="32"/>
  <c r="C285" i="32"/>
  <c r="C271" i="32"/>
  <c r="C257" i="32"/>
  <c r="C233" i="32"/>
  <c r="C23" i="48"/>
  <c r="C4" i="48"/>
  <c r="C52" i="1"/>
  <c r="C24" i="1"/>
  <c r="C23" i="1"/>
  <c r="C5" i="1"/>
  <c r="C71" i="50"/>
  <c r="C70" i="50"/>
  <c r="C9" i="50"/>
  <c r="C3" i="5"/>
  <c r="C85" i="5"/>
  <c r="C78" i="5" l="1"/>
  <c r="C42" i="5"/>
  <c r="C31" i="5"/>
  <c r="C29" i="5"/>
  <c r="C110" i="19"/>
  <c r="C100" i="19"/>
  <c r="C103" i="19"/>
  <c r="C106" i="19"/>
  <c r="C109" i="19"/>
  <c r="C113" i="19"/>
  <c r="C131" i="19"/>
  <c r="A13" i="17" l="1"/>
  <c r="C146" i="19" l="1"/>
  <c r="C36" i="51"/>
  <c r="C35" i="51"/>
  <c r="C34" i="51"/>
  <c r="C33" i="51"/>
  <c r="C32" i="51"/>
  <c r="C31" i="51"/>
  <c r="C163" i="50"/>
  <c r="C151" i="50"/>
  <c r="C150" i="50"/>
  <c r="C148" i="50"/>
  <c r="C144" i="50"/>
  <c r="C143" i="50"/>
  <c r="C141" i="50"/>
  <c r="C140" i="50"/>
  <c r="C139" i="50"/>
  <c r="C132" i="50"/>
  <c r="C129" i="50"/>
  <c r="C128" i="50"/>
  <c r="C124" i="50"/>
  <c r="C123" i="50"/>
  <c r="C119" i="50"/>
  <c r="C115" i="50"/>
  <c r="C114" i="50"/>
  <c r="C112" i="50"/>
  <c r="C111" i="50"/>
  <c r="C110" i="50"/>
  <c r="C109" i="50"/>
  <c r="C108" i="50"/>
  <c r="C107" i="50"/>
  <c r="C106" i="50"/>
  <c r="C105" i="50"/>
  <c r="C104" i="50"/>
  <c r="C103" i="50"/>
  <c r="C102" i="50"/>
  <c r="C95" i="50"/>
  <c r="C94" i="50"/>
  <c r="C93" i="50"/>
  <c r="C92" i="50"/>
  <c r="C91" i="50"/>
  <c r="C90" i="50"/>
  <c r="C89" i="50"/>
  <c r="C88" i="50"/>
  <c r="C87" i="50"/>
  <c r="C86" i="50"/>
  <c r="C85" i="50"/>
  <c r="C84" i="50"/>
  <c r="C83" i="50"/>
  <c r="C82" i="50"/>
  <c r="C80" i="50"/>
  <c r="C79" i="50"/>
  <c r="C78" i="50"/>
  <c r="C77" i="50"/>
  <c r="C76" i="50"/>
  <c r="C75" i="50"/>
  <c r="C74" i="50"/>
  <c r="C73" i="50"/>
  <c r="C69" i="50"/>
  <c r="C68" i="50"/>
  <c r="C26" i="50" l="1"/>
  <c r="C32" i="50"/>
  <c r="C31" i="50"/>
  <c r="C29" i="50"/>
  <c r="C30" i="50"/>
  <c r="C28" i="50"/>
  <c r="C107" i="19" l="1"/>
  <c r="B107" i="19"/>
  <c r="C104" i="19"/>
  <c r="B104" i="19"/>
  <c r="C101" i="19"/>
  <c r="C167" i="19"/>
  <c r="C100" i="32"/>
  <c r="C44" i="39"/>
  <c r="C130" i="19"/>
  <c r="C166" i="19"/>
  <c r="C377" i="32"/>
  <c r="C24" i="39"/>
  <c r="C111" i="32" l="1"/>
  <c r="C51" i="39"/>
  <c r="C13" i="39"/>
  <c r="C276" i="32"/>
  <c r="C272" i="32"/>
  <c r="C262" i="32" l="1"/>
  <c r="C258" i="32"/>
  <c r="C35" i="39"/>
  <c r="C132" i="32" l="1"/>
  <c r="C121" i="32"/>
  <c r="C130" i="32"/>
  <c r="C120" i="32"/>
  <c r="C45" i="51"/>
  <c r="C43" i="51"/>
  <c r="C7" i="51"/>
  <c r="C40" i="51"/>
  <c r="C38" i="51"/>
  <c r="C18" i="51"/>
  <c r="C5" i="51"/>
  <c r="C6" i="49"/>
  <c r="C27" i="49"/>
  <c r="C39" i="49"/>
  <c r="C31" i="28"/>
  <c r="C33" i="28"/>
  <c r="C32" i="28"/>
  <c r="C34" i="27"/>
  <c r="C33" i="27"/>
  <c r="C32" i="27"/>
  <c r="C34" i="22"/>
  <c r="C35" i="22"/>
  <c r="C36" i="22"/>
  <c r="C36" i="5"/>
  <c r="C25" i="5"/>
  <c r="C4" i="34"/>
  <c r="C84" i="48"/>
  <c r="C7" i="5"/>
  <c r="C50" i="5"/>
  <c r="C48" i="5"/>
  <c r="C87" i="48"/>
  <c r="C86" i="48"/>
  <c r="C85" i="48"/>
  <c r="C28" i="1"/>
  <c r="C27" i="1"/>
  <c r="C35" i="50"/>
  <c r="C33" i="50"/>
  <c r="C4" i="1"/>
  <c r="C8" i="50"/>
  <c r="C62" i="48"/>
  <c r="C61" i="48"/>
  <c r="C61" i="49"/>
  <c r="C60" i="49"/>
  <c r="C59" i="49"/>
  <c r="C17" i="49"/>
  <c r="C20" i="49"/>
  <c r="C19" i="49"/>
  <c r="C10" i="49"/>
  <c r="C3" i="49"/>
  <c r="C11" i="28"/>
  <c r="C14" i="22"/>
  <c r="C12" i="27"/>
  <c r="C290" i="32"/>
  <c r="C238" i="32"/>
  <c r="C63" i="1"/>
  <c r="C16" i="47"/>
  <c r="C15" i="47"/>
  <c r="C14" i="47"/>
  <c r="C13" i="47"/>
  <c r="C12" i="47"/>
  <c r="C81" i="48"/>
  <c r="C80" i="48"/>
  <c r="C78" i="48"/>
  <c r="C77" i="48"/>
  <c r="C76" i="48"/>
  <c r="C70" i="48"/>
  <c r="C67" i="48"/>
  <c r="C66" i="48"/>
  <c r="C57" i="48"/>
  <c r="C53" i="48"/>
  <c r="C52" i="48"/>
  <c r="C51" i="48"/>
  <c r="C50" i="48"/>
  <c r="C49" i="48"/>
  <c r="C43" i="48"/>
  <c r="C42" i="48"/>
  <c r="C41" i="48"/>
  <c r="C40" i="48"/>
  <c r="C39" i="48"/>
  <c r="C38" i="48"/>
  <c r="C37" i="48"/>
  <c r="C36" i="48"/>
  <c r="C35" i="48"/>
  <c r="C34" i="48"/>
  <c r="C33" i="48"/>
  <c r="C32" i="48"/>
  <c r="C31" i="48"/>
  <c r="C29" i="48"/>
  <c r="C28" i="48"/>
  <c r="C27" i="48"/>
  <c r="C26" i="48"/>
  <c r="C25" i="48"/>
  <c r="C24" i="48"/>
  <c r="C22" i="48"/>
  <c r="C5" i="48"/>
  <c r="C57" i="39"/>
  <c r="C56" i="39"/>
  <c r="C55" i="39"/>
  <c r="C22" i="39"/>
  <c r="C21" i="39"/>
  <c r="C20" i="39"/>
  <c r="C286" i="32"/>
  <c r="C41" i="34"/>
  <c r="C40" i="34"/>
  <c r="C234" i="32"/>
  <c r="C49" i="34"/>
  <c r="C47" i="1"/>
  <c r="C46" i="1"/>
  <c r="C45" i="1"/>
  <c r="C44" i="1"/>
  <c r="C43" i="1"/>
  <c r="C42" i="1"/>
  <c r="C41" i="1"/>
  <c r="C40" i="1"/>
  <c r="C27" i="28"/>
  <c r="C28" i="27"/>
  <c r="C30" i="22"/>
  <c r="C47" i="34"/>
  <c r="C23" i="34"/>
  <c r="D37" i="22"/>
  <c r="C34" i="28"/>
  <c r="C18" i="28"/>
  <c r="C3" i="28"/>
  <c r="C35" i="27"/>
  <c r="C19" i="27"/>
  <c r="C3" i="27"/>
  <c r="C3" i="26"/>
  <c r="C37" i="22"/>
  <c r="C21" i="22"/>
  <c r="C3" i="22"/>
  <c r="C38" i="1"/>
  <c r="C29" i="1"/>
  <c r="C18" i="1"/>
  <c r="C17" i="1"/>
  <c r="C16" i="1"/>
  <c r="C15" i="1"/>
  <c r="C14" i="1"/>
  <c r="C13" i="1"/>
  <c r="C11" i="1"/>
</calcChain>
</file>

<file path=xl/sharedStrings.xml><?xml version="1.0" encoding="utf-8"?>
<sst xmlns="http://schemas.openxmlformats.org/spreadsheetml/2006/main" count="3898" uniqueCount="2011">
  <si>
    <t>Checked</t>
  </si>
  <si>
    <t>n/a</t>
  </si>
  <si>
    <t>US</t>
  </si>
  <si>
    <t>Field Name</t>
  </si>
  <si>
    <t>Hostname:</t>
  </si>
  <si>
    <t>Primary DNS:</t>
  </si>
  <si>
    <t>Secondary DNS:</t>
  </si>
  <si>
    <t>Static IP:</t>
  </si>
  <si>
    <t>Subnet Mask:</t>
  </si>
  <si>
    <t>Default gateway IP:</t>
  </si>
  <si>
    <t>Enable IP Forwarding</t>
  </si>
  <si>
    <t>Step Description, Action, or Required Data</t>
  </si>
  <si>
    <t>Time Zone Selection</t>
  </si>
  <si>
    <t>Keyboard Type</t>
  </si>
  <si>
    <t>Date: Day (1-31)</t>
  </si>
  <si>
    <t>Date: Month (1-12)</t>
  </si>
  <si>
    <t>Date: Year (yyyy)</t>
  </si>
  <si>
    <t>Time: Hour (0-23)</t>
  </si>
  <si>
    <t>Time: Minute (0-59)</t>
  </si>
  <si>
    <t>Time: Second (0-59)</t>
  </si>
  <si>
    <t>Use NTP</t>
  </si>
  <si>
    <t>NTP Server 1:</t>
  </si>
  <si>
    <t>Action -tab to OK, hit Enter</t>
  </si>
  <si>
    <t>root Password:</t>
  </si>
  <si>
    <t>root Password: (confirm)</t>
  </si>
  <si>
    <t>admin Password:</t>
  </si>
  <si>
    <t>admin Password: (confirm)</t>
  </si>
  <si>
    <t>cust Password:</t>
  </si>
  <si>
    <t>cust Password: (confirm)</t>
  </si>
  <si>
    <t>LDAP Password:</t>
  </si>
  <si>
    <t>LDAP Password: (confirm)</t>
  </si>
  <si>
    <t>admin/admin01</t>
  </si>
  <si>
    <t>Install</t>
  </si>
  <si>
    <t>Virtual Machine Management</t>
  </si>
  <si>
    <t>Install Template From</t>
  </si>
  <si>
    <t>Search</t>
  </si>
  <si>
    <t>Select Template</t>
  </si>
  <si>
    <t>Save</t>
  </si>
  <si>
    <t>Utility Server IP Address</t>
  </si>
  <si>
    <t>admin01</t>
  </si>
  <si>
    <t>Non-root User:</t>
  </si>
  <si>
    <t>admin</t>
  </si>
  <si>
    <t>username/password</t>
  </si>
  <si>
    <t>Password:</t>
  </si>
  <si>
    <t>New (Button)</t>
  </si>
  <si>
    <t>America/Denver</t>
  </si>
  <si>
    <t>Session Manager</t>
  </si>
  <si>
    <t>Port</t>
  </si>
  <si>
    <t>Default Domain</t>
  </si>
  <si>
    <t>Default Gateway</t>
  </si>
  <si>
    <t>Tests Pass</t>
  </si>
  <si>
    <t>Green checkmark appears</t>
  </si>
  <si>
    <t>Security Module</t>
  </si>
  <si>
    <t>"Up" in green font appears</t>
  </si>
  <si>
    <t>(check box)</t>
  </si>
  <si>
    <t>Service State (menu)</t>
  </si>
  <si>
    <t>Accept New Service</t>
  </si>
  <si>
    <t>Continue without EPW file (button)</t>
  </si>
  <si>
    <t>Verify Domain-0 IP Address</t>
  </si>
  <si>
    <t>Domain-0 IP Address</t>
  </si>
  <si>
    <t>Cdom IP Address</t>
  </si>
  <si>
    <t>Verify Gateway IP Address</t>
  </si>
  <si>
    <t>Gateway IP Address</t>
  </si>
  <si>
    <t>Verify Network Mask</t>
  </si>
  <si>
    <t>Network Mask</t>
  </si>
  <si>
    <t>Verify Primary DNS</t>
  </si>
  <si>
    <t>Primary DNS</t>
  </si>
  <si>
    <t>Verify Secondary DNS</t>
  </si>
  <si>
    <t>Secondary DNS</t>
  </si>
  <si>
    <t>Communication Manager IP Address</t>
  </si>
  <si>
    <t>Communication Manager Hostname</t>
  </si>
  <si>
    <t>Utility Server Hostname</t>
  </si>
  <si>
    <t>System Manager IP Address</t>
  </si>
  <si>
    <t>System Manager Hostname</t>
  </si>
  <si>
    <t>Click on Next Step link</t>
  </si>
  <si>
    <t>Next Step (link)</t>
  </si>
  <si>
    <t>Login name</t>
  </si>
  <si>
    <t>Enter Customer Password</t>
  </si>
  <si>
    <t>Password</t>
  </si>
  <si>
    <t>Retype Customer Password</t>
  </si>
  <si>
    <t>Re-type password</t>
  </si>
  <si>
    <t>Enter Non-root username</t>
  </si>
  <si>
    <t>Select Country</t>
  </si>
  <si>
    <t>USA</t>
  </si>
  <si>
    <t>radio button selected</t>
  </si>
  <si>
    <t>On VPN Access form, confirm that VPN Access is disabled</t>
  </si>
  <si>
    <t>No (radio button)</t>
  </si>
  <si>
    <t>Enter Gateway Type</t>
  </si>
  <si>
    <t>Gateway type</t>
  </si>
  <si>
    <t>Serial Number</t>
  </si>
  <si>
    <t>Click Add button</t>
  </si>
  <si>
    <t>Add (button)</t>
  </si>
  <si>
    <t>Select Dial plan length</t>
  </si>
  <si>
    <t>Dial plan length (drop-down menu)</t>
  </si>
  <si>
    <t>On Trunks form, do not modify the defaults</t>
  </si>
  <si>
    <t>Confirm all entries on Summary Form</t>
  </si>
  <si>
    <t>Accept (button)</t>
  </si>
  <si>
    <t>Install (button)</t>
  </si>
  <si>
    <t>Service State</t>
  </si>
  <si>
    <t>http://&lt;IP Address&gt;</t>
  </si>
  <si>
    <t>User Id</t>
  </si>
  <si>
    <r>
      <t xml:space="preserve">Enter password, click </t>
    </r>
    <r>
      <rPr>
        <b/>
        <sz val="11"/>
        <color indexed="8"/>
        <rFont val="Calibri"/>
        <family val="2"/>
      </rPr>
      <t>Log On</t>
    </r>
    <r>
      <rPr>
        <sz val="11"/>
        <color theme="1"/>
        <rFont val="Calibri"/>
        <family val="2"/>
        <scheme val="minor"/>
      </rPr>
      <t xml:space="preserve"> button</t>
    </r>
  </si>
  <si>
    <r>
      <t xml:space="preserve">Login - enter username, click on </t>
    </r>
    <r>
      <rPr>
        <b/>
        <sz val="11"/>
        <color indexed="8"/>
        <rFont val="Calibri"/>
        <family val="2"/>
      </rPr>
      <t>Continue</t>
    </r>
    <r>
      <rPr>
        <sz val="11"/>
        <color theme="1"/>
        <rFont val="Calibri"/>
        <family val="2"/>
        <scheme val="minor"/>
      </rPr>
      <t xml:space="preserve"> button</t>
    </r>
  </si>
  <si>
    <r>
      <t xml:space="preserve">Click on </t>
    </r>
    <r>
      <rPr>
        <b/>
        <sz val="11"/>
        <color indexed="8"/>
        <rFont val="Calibri"/>
        <family val="2"/>
      </rPr>
      <t>User Administration</t>
    </r>
    <r>
      <rPr>
        <sz val="11"/>
        <color theme="1"/>
        <rFont val="Calibri"/>
        <family val="2"/>
        <scheme val="minor"/>
      </rPr>
      <t xml:space="preserve"> in the left navigational frame</t>
    </r>
  </si>
  <si>
    <t>User Administration</t>
  </si>
  <si>
    <t>login as:/Password:</t>
  </si>
  <si>
    <r>
      <t xml:space="preserve">Click on </t>
    </r>
    <r>
      <rPr>
        <b/>
        <sz val="11"/>
        <color indexed="8"/>
        <rFont val="Calibri"/>
        <family val="2"/>
      </rPr>
      <t>Authentication File</t>
    </r>
    <r>
      <rPr>
        <sz val="11"/>
        <color theme="1"/>
        <rFont val="Calibri"/>
        <family val="2"/>
        <scheme val="minor"/>
      </rPr>
      <t xml:space="preserve"> under User Administration</t>
    </r>
  </si>
  <si>
    <t>Authentication File</t>
  </si>
  <si>
    <t>Upload</t>
  </si>
  <si>
    <r>
      <t xml:space="preserve">Click on the </t>
    </r>
    <r>
      <rPr>
        <b/>
        <sz val="11"/>
        <color indexed="8"/>
        <rFont val="Calibri"/>
        <family val="2"/>
      </rPr>
      <t>Upload</t>
    </r>
    <r>
      <rPr>
        <sz val="11"/>
        <color theme="1"/>
        <rFont val="Calibri"/>
        <family val="2"/>
        <scheme val="minor"/>
      </rPr>
      <t xml:space="preserve"> button at the bottom of the page</t>
    </r>
  </si>
  <si>
    <t>Open</t>
  </si>
  <si>
    <t>Locate the file in the Windows dialogue box, and click "Open"</t>
  </si>
  <si>
    <r>
      <t xml:space="preserve">Click on the </t>
    </r>
    <r>
      <rPr>
        <b/>
        <sz val="11"/>
        <color indexed="8"/>
        <rFont val="Calibri"/>
        <family val="2"/>
      </rPr>
      <t>Install</t>
    </r>
    <r>
      <rPr>
        <sz val="11"/>
        <color theme="1"/>
        <rFont val="Calibri"/>
        <family val="2"/>
        <scheme val="minor"/>
      </rPr>
      <t xml:space="preserve"> button that now appears at the bottom of the page</t>
    </r>
  </si>
  <si>
    <t>Force load of new file</t>
  </si>
  <si>
    <r>
      <t xml:space="preserve">Check the </t>
    </r>
    <r>
      <rPr>
        <b/>
        <sz val="11"/>
        <color indexed="8"/>
        <rFont val="Calibri"/>
        <family val="2"/>
      </rPr>
      <t>Force load of new file</t>
    </r>
    <r>
      <rPr>
        <sz val="11"/>
        <color theme="1"/>
        <rFont val="Calibri"/>
        <family val="2"/>
        <scheme val="minor"/>
      </rPr>
      <t xml:space="preserve"> box at the lower right of the page</t>
    </r>
  </si>
  <si>
    <t>Name</t>
  </si>
  <si>
    <t>CM System</t>
  </si>
  <si>
    <t>Commit (button)</t>
  </si>
  <si>
    <t>Type:</t>
  </si>
  <si>
    <t>Accept License Agreement (if this is first login after SP install)</t>
  </si>
  <si>
    <t>Install(button)</t>
  </si>
  <si>
    <t>Select(button)</t>
  </si>
  <si>
    <t>Note</t>
  </si>
  <si>
    <t>Deal with untrusted host browser complaint, e.g., accept certificate, etc.</t>
  </si>
  <si>
    <t>I Accept (button)</t>
  </si>
  <si>
    <t>Enter IP Address for Communication Manager VM</t>
  </si>
  <si>
    <t>Enter IP Address for Utility Server VM</t>
  </si>
  <si>
    <t>Enter IP Address for Session Manager VM</t>
  </si>
  <si>
    <t>Enter IP Address for System Manager  VM</t>
  </si>
  <si>
    <r>
      <t xml:space="preserve">Be sure the window is wide enough to see the </t>
    </r>
    <r>
      <rPr>
        <b/>
        <sz val="11"/>
        <color indexed="8"/>
        <rFont val="Calibri"/>
        <family val="2"/>
      </rPr>
      <t>Domain</t>
    </r>
    <r>
      <rPr>
        <sz val="11"/>
        <color theme="1"/>
        <rFont val="Calibri"/>
        <family val="2"/>
        <scheme val="minor"/>
      </rPr>
      <t xml:space="preserve"> column on the form.</t>
    </r>
  </si>
  <si>
    <t>Synchronization Status</t>
  </si>
  <si>
    <t>Synchronized</t>
  </si>
  <si>
    <t>Presence Server  IP Address</t>
  </si>
  <si>
    <t>Presence Server  Hostname</t>
  </si>
  <si>
    <t>User Management (Page)</t>
  </si>
  <si>
    <t>Last Name:</t>
  </si>
  <si>
    <t>First Name:</t>
  </si>
  <si>
    <t>Identity Section:</t>
  </si>
  <si>
    <t>Login Name:</t>
  </si>
  <si>
    <r>
      <t xml:space="preserve">Select </t>
    </r>
    <r>
      <rPr>
        <b/>
        <sz val="11"/>
        <color indexed="8"/>
        <rFont val="Calibri"/>
        <family val="2"/>
      </rPr>
      <t>Basic</t>
    </r>
    <r>
      <rPr>
        <sz val="11"/>
        <color theme="1"/>
        <rFont val="Calibri"/>
        <family val="2"/>
        <scheme val="minor"/>
      </rPr>
      <t xml:space="preserve"> from the  </t>
    </r>
    <r>
      <rPr>
        <b/>
        <sz val="11"/>
        <color indexed="8"/>
        <rFont val="Calibri"/>
        <family val="2"/>
      </rPr>
      <t>Authentication Type</t>
    </r>
    <r>
      <rPr>
        <sz val="11"/>
        <color theme="1"/>
        <rFont val="Calibri"/>
        <family val="2"/>
        <scheme val="minor"/>
      </rPr>
      <t xml:space="preserve"> drop-down menu</t>
    </r>
  </si>
  <si>
    <t>Authentication Type</t>
  </si>
  <si>
    <t>Basic</t>
  </si>
  <si>
    <t>Confirm Password:</t>
  </si>
  <si>
    <t>By convention, this is the extension</t>
  </si>
  <si>
    <t>Localized Display Name:</t>
  </si>
  <si>
    <t>Endpoint Display Name:</t>
  </si>
  <si>
    <t>Select Language Preference from drop-down menu</t>
  </si>
  <si>
    <t>Language Preference:</t>
  </si>
  <si>
    <t>English</t>
  </si>
  <si>
    <t>Select Time Zone from drop-down menu</t>
  </si>
  <si>
    <t>Time Zone:</t>
  </si>
  <si>
    <t>Communication Profile Section:</t>
  </si>
  <si>
    <r>
      <t xml:space="preserve">Click </t>
    </r>
    <r>
      <rPr>
        <b/>
        <sz val="11"/>
        <color indexed="8"/>
        <rFont val="Calibri"/>
        <family val="2"/>
      </rPr>
      <t>New</t>
    </r>
    <r>
      <rPr>
        <sz val="11"/>
        <color theme="1"/>
        <rFont val="Calibri"/>
        <family val="2"/>
        <scheme val="minor"/>
      </rPr>
      <t xml:space="preserve"> button under </t>
    </r>
    <r>
      <rPr>
        <b/>
        <sz val="11"/>
        <color indexed="8"/>
        <rFont val="Calibri"/>
        <family val="2"/>
      </rPr>
      <t>Communication Address</t>
    </r>
  </si>
  <si>
    <r>
      <t xml:space="preserve">Select </t>
    </r>
    <r>
      <rPr>
        <b/>
        <sz val="11"/>
        <color indexed="8"/>
        <rFont val="Calibri"/>
        <family val="2"/>
      </rPr>
      <t>Avaya SIP</t>
    </r>
    <r>
      <rPr>
        <sz val="11"/>
        <color theme="1"/>
        <rFont val="Calibri"/>
        <family val="2"/>
        <scheme val="minor"/>
      </rPr>
      <t xml:space="preserve"> from </t>
    </r>
    <r>
      <rPr>
        <b/>
        <sz val="11"/>
        <color indexed="8"/>
        <rFont val="Calibri"/>
        <family val="2"/>
      </rPr>
      <t xml:space="preserve">Type: </t>
    </r>
    <r>
      <rPr>
        <sz val="11"/>
        <color theme="1"/>
        <rFont val="Calibri"/>
        <family val="2"/>
        <scheme val="minor"/>
      </rPr>
      <t>drop-down menu</t>
    </r>
  </si>
  <si>
    <t>Avaya SIP</t>
  </si>
  <si>
    <t>Fully Qualified Address:</t>
  </si>
  <si>
    <t>Select SIP domain in drop-down menu after the @ symbol</t>
  </si>
  <si>
    <t>@ (drop-down menu)</t>
  </si>
  <si>
    <r>
      <t xml:space="preserve">Click </t>
    </r>
    <r>
      <rPr>
        <b/>
        <sz val="11"/>
        <color indexed="8"/>
        <rFont val="Calibri"/>
        <family val="2"/>
      </rPr>
      <t>Add</t>
    </r>
    <r>
      <rPr>
        <sz val="11"/>
        <color theme="1"/>
        <rFont val="Calibri"/>
        <family val="2"/>
        <scheme val="minor"/>
      </rPr>
      <t xml:space="preserve"> button</t>
    </r>
  </si>
  <si>
    <r>
      <t xml:space="preserve">Select SM instance from </t>
    </r>
    <r>
      <rPr>
        <b/>
        <sz val="11"/>
        <color indexed="8"/>
        <rFont val="Calibri"/>
        <family val="2"/>
      </rPr>
      <t>Primary Session Manager</t>
    </r>
    <r>
      <rPr>
        <sz val="11"/>
        <color theme="1"/>
        <rFont val="Calibri"/>
        <family val="2"/>
        <scheme val="minor"/>
      </rPr>
      <t xml:space="preserve"> drop-down</t>
    </r>
  </si>
  <si>
    <t>Primary Session Manager</t>
  </si>
  <si>
    <r>
      <t xml:space="preserve">Select </t>
    </r>
    <r>
      <rPr>
        <b/>
        <sz val="11"/>
        <color indexed="8"/>
        <rFont val="Calibri"/>
        <family val="2"/>
      </rPr>
      <t>Home Location</t>
    </r>
    <r>
      <rPr>
        <sz val="11"/>
        <color theme="1"/>
        <rFont val="Calibri"/>
        <family val="2"/>
        <scheme val="minor"/>
      </rPr>
      <t xml:space="preserve"> from drop-down menu</t>
    </r>
  </si>
  <si>
    <t>Home Location</t>
  </si>
  <si>
    <t>System</t>
  </si>
  <si>
    <t>Extension</t>
  </si>
  <si>
    <r>
      <t xml:space="preserve">Select the </t>
    </r>
    <r>
      <rPr>
        <b/>
        <sz val="11"/>
        <color indexed="8"/>
        <rFont val="Calibri"/>
        <family val="2"/>
      </rPr>
      <t>Set Type</t>
    </r>
    <r>
      <rPr>
        <sz val="11"/>
        <color theme="1"/>
        <rFont val="Calibri"/>
        <family val="2"/>
        <scheme val="minor"/>
      </rPr>
      <t xml:space="preserve"> template</t>
    </r>
  </si>
  <si>
    <t>Template</t>
  </si>
  <si>
    <t>DEFAULT_9630SIP_CM_6_0</t>
  </si>
  <si>
    <r>
      <t xml:space="preserve">Click on the </t>
    </r>
    <r>
      <rPr>
        <b/>
        <sz val="11"/>
        <color indexed="8"/>
        <rFont val="Calibri"/>
        <family val="2"/>
      </rPr>
      <t>Port</t>
    </r>
    <r>
      <rPr>
        <sz val="11"/>
        <color theme="1"/>
        <rFont val="Calibri"/>
        <family val="2"/>
        <scheme val="minor"/>
      </rPr>
      <t xml:space="preserve"> field, and select </t>
    </r>
    <r>
      <rPr>
        <b/>
        <sz val="11"/>
        <color indexed="8"/>
        <rFont val="Calibri"/>
        <family val="2"/>
      </rPr>
      <t>IP</t>
    </r>
    <r>
      <rPr>
        <sz val="11"/>
        <color theme="1"/>
        <rFont val="Calibri"/>
        <family val="2"/>
        <scheme val="minor"/>
      </rPr>
      <t xml:space="preserve"> from the drop-down</t>
    </r>
  </si>
  <si>
    <t>IP</t>
  </si>
  <si>
    <r>
      <t xml:space="preserve">Click the </t>
    </r>
    <r>
      <rPr>
        <b/>
        <sz val="11"/>
        <color indexed="8"/>
        <rFont val="Calibri"/>
        <family val="2"/>
      </rPr>
      <t>Commit</t>
    </r>
    <r>
      <rPr>
        <sz val="11"/>
        <color theme="1"/>
        <rFont val="Calibri"/>
        <family val="2"/>
        <scheme val="minor"/>
      </rPr>
      <t xml:space="preserve"> button</t>
    </r>
  </si>
  <si>
    <t>Origination Application Sequence (drop-down menu)</t>
  </si>
  <si>
    <t>Termination Application Sequence (drop-down menu)</t>
  </si>
  <si>
    <r>
      <t xml:space="preserve">Select CM Application Sequence  for </t>
    </r>
    <r>
      <rPr>
        <b/>
        <sz val="11"/>
        <color indexed="8"/>
        <rFont val="Calibri"/>
        <family val="2"/>
      </rPr>
      <t>Origination Application Sequence</t>
    </r>
  </si>
  <si>
    <r>
      <t xml:space="preserve">Select CM Application Sequence for </t>
    </r>
    <r>
      <rPr>
        <b/>
        <sz val="11"/>
        <color indexed="8"/>
        <rFont val="Calibri"/>
        <family val="2"/>
      </rPr>
      <t>Termination Application Sequence</t>
    </r>
  </si>
  <si>
    <t xml:space="preserve">09IS10228113      </t>
  </si>
  <si>
    <t>Enter Hostname for System Manager VM</t>
  </si>
  <si>
    <t>Required Information for System Platform Installation</t>
  </si>
  <si>
    <t>Primary DNS Server IP Address</t>
  </si>
  <si>
    <t>Secondary DNS Server IP Address</t>
  </si>
  <si>
    <t>dom0 IP address</t>
  </si>
  <si>
    <t>Netmask</t>
  </si>
  <si>
    <t>cdom IP address</t>
  </si>
  <si>
    <t>Date - Month</t>
  </si>
  <si>
    <t>Date - Day</t>
  </si>
  <si>
    <t>Date - Year</t>
  </si>
  <si>
    <t>Time - Hour</t>
  </si>
  <si>
    <t>Time - Minute</t>
  </si>
  <si>
    <t>Time - Second</t>
  </si>
  <si>
    <t>NTP Server FQDN</t>
  </si>
  <si>
    <t>dom0 FQDN  (FQDN for System Platform Domain Zero)</t>
  </si>
  <si>
    <t>cdom FQDN (FQDN for System Platform Console Domain)</t>
  </si>
  <si>
    <t>255.255.255.0</t>
  </si>
  <si>
    <t>Value</t>
  </si>
  <si>
    <t>dom0 Default Gateway IP Address</t>
  </si>
  <si>
    <t>Time Zone</t>
  </si>
  <si>
    <t>Required Data</t>
  </si>
  <si>
    <t>IP Address for Communication Manager VM</t>
  </si>
  <si>
    <t>IP Address for Utility Server VM</t>
  </si>
  <si>
    <t>IP Address for Session Manager VM</t>
  </si>
  <si>
    <t>IP Address for System Manager  VM</t>
  </si>
  <si>
    <t>Customer SuperUser Login Password</t>
  </si>
  <si>
    <t>Country</t>
  </si>
  <si>
    <t>Media-Gateway Serial Number</t>
  </si>
  <si>
    <t>Media-Gateway Type</t>
  </si>
  <si>
    <t>g430</t>
  </si>
  <si>
    <t>david</t>
  </si>
  <si>
    <t>david01</t>
  </si>
  <si>
    <t>dr.avaya.com</t>
  </si>
  <si>
    <t>Dial Plan Length for CM</t>
  </si>
  <si>
    <t>SMGR/SM Enrollment Password</t>
  </si>
  <si>
    <t>SIP Entity IP Address (aka Security Module, Asset)</t>
  </si>
  <si>
    <t>Required Information for SMGR Configuration</t>
  </si>
  <si>
    <t>Westminster</t>
  </si>
  <si>
    <t>Use browser to access cdom</t>
  </si>
  <si>
    <t>User Id/Password</t>
  </si>
  <si>
    <t>Must be FQDN, not just hostname!</t>
  </si>
  <si>
    <t xml:space="preserve"> </t>
  </si>
  <si>
    <t>Click Save button</t>
  </si>
  <si>
    <t>(URL)</t>
  </si>
  <si>
    <t>Step:  Change Session Manager Instance Service Status</t>
  </si>
  <si>
    <t>craft/craft01</t>
  </si>
  <si>
    <r>
      <t xml:space="preserve">Confirm that the </t>
    </r>
    <r>
      <rPr>
        <b/>
        <sz val="11"/>
        <color indexed="8"/>
        <rFont val="Calibri"/>
        <family val="2"/>
      </rPr>
      <t>Security Module</t>
    </r>
    <r>
      <rPr>
        <sz val="11"/>
        <color theme="1"/>
        <rFont val="Calibri"/>
        <family val="2"/>
        <scheme val="minor"/>
      </rPr>
      <t xml:space="preserve"> column indicates </t>
    </r>
    <r>
      <rPr>
        <b/>
        <sz val="11"/>
        <color indexed="8"/>
        <rFont val="Calibri"/>
        <family val="2"/>
      </rPr>
      <t>Up</t>
    </r>
    <r>
      <rPr>
        <sz val="11"/>
        <color theme="1"/>
        <rFont val="Calibri"/>
        <family val="2"/>
        <scheme val="minor"/>
      </rPr>
      <t>.</t>
    </r>
  </si>
  <si>
    <r>
      <t xml:space="preserve">Select </t>
    </r>
    <r>
      <rPr>
        <b/>
        <sz val="11"/>
        <color indexed="8"/>
        <rFont val="Calibri"/>
        <family val="2"/>
      </rPr>
      <t>Accept New Service</t>
    </r>
    <r>
      <rPr>
        <sz val="11"/>
        <color theme="1"/>
        <rFont val="Calibri"/>
        <family val="2"/>
        <scheme val="minor"/>
      </rPr>
      <t xml:space="preserve"> in the </t>
    </r>
    <r>
      <rPr>
        <b/>
        <sz val="11"/>
        <color indexed="8"/>
        <rFont val="Calibri"/>
        <family val="2"/>
      </rPr>
      <t>Service State</t>
    </r>
    <r>
      <rPr>
        <sz val="11"/>
        <color theme="1"/>
        <rFont val="Calibri"/>
        <family val="2"/>
        <scheme val="minor"/>
      </rPr>
      <t xml:space="preserve"> drop-down menu</t>
    </r>
  </si>
  <si>
    <r>
      <t xml:space="preserve">Confirm that </t>
    </r>
    <r>
      <rPr>
        <b/>
        <sz val="11"/>
        <color indexed="8"/>
        <rFont val="Calibri"/>
        <family val="2"/>
      </rPr>
      <t>Service State</t>
    </r>
    <r>
      <rPr>
        <sz val="11"/>
        <color theme="1"/>
        <rFont val="Calibri"/>
        <family val="2"/>
        <scheme val="minor"/>
      </rPr>
      <t xml:space="preserve"> shows "Accept New Service"</t>
    </r>
  </si>
  <si>
    <t>Step:  Confirm or Repair SMGR-SM Data Replication Service Status</t>
  </si>
  <si>
    <t>Browse to SMGR at https://&lt;IP Address&gt;/SMGR</t>
  </si>
  <si>
    <t>Click New button</t>
  </si>
  <si>
    <t>Enter Last Name of user</t>
  </si>
  <si>
    <t>Enter First Name of user</t>
  </si>
  <si>
    <t xml:space="preserve"> Enter login name (extension)</t>
  </si>
  <si>
    <t>Enter SMGR Login Password</t>
  </si>
  <si>
    <t>Re-enter SMGR Login Password</t>
  </si>
  <si>
    <t>Enter Localized Display Name</t>
  </si>
  <si>
    <t>Enter Endpoint Display Name</t>
  </si>
  <si>
    <t>Enter extension in Fully Qualified Address: box</t>
  </si>
  <si>
    <t>Enter extension in the Extension field</t>
  </si>
  <si>
    <t>login to SMGR using admin login/password</t>
  </si>
  <si>
    <r>
      <t xml:space="preserve">Navigate to </t>
    </r>
    <r>
      <rPr>
        <b/>
        <sz val="11"/>
        <color indexed="8"/>
        <rFont val="Calibri"/>
        <family val="2"/>
      </rPr>
      <t>Users -&gt; Manage Users</t>
    </r>
  </si>
  <si>
    <r>
      <rPr>
        <b/>
        <u/>
        <sz val="11"/>
        <color indexed="8"/>
        <rFont val="Calibri"/>
        <family val="2"/>
      </rPr>
      <t>Must</t>
    </r>
    <r>
      <rPr>
        <sz val="11"/>
        <color theme="1"/>
        <rFont val="Calibri"/>
        <family val="2"/>
        <scheme val="minor"/>
      </rPr>
      <t xml:space="preserve"> be in the format, username@SIPdomain</t>
    </r>
  </si>
  <si>
    <t>User Time Zone</t>
  </si>
  <si>
    <t>Mountain (US and Canada)</t>
  </si>
  <si>
    <r>
      <t xml:space="preserve">Click checkbox next to </t>
    </r>
    <r>
      <rPr>
        <b/>
        <sz val="11"/>
        <color indexed="8"/>
        <rFont val="Calibri"/>
        <family val="2"/>
      </rPr>
      <t>Session Manager Profile</t>
    </r>
    <r>
      <rPr>
        <sz val="11"/>
        <color theme="1"/>
        <rFont val="Calibri"/>
        <family val="2"/>
        <scheme val="minor"/>
      </rPr>
      <t xml:space="preserve"> to open sub-section</t>
    </r>
  </si>
  <si>
    <r>
      <t xml:space="preserve">Click checkbox next to </t>
    </r>
    <r>
      <rPr>
        <b/>
        <sz val="11"/>
        <color indexed="8"/>
        <rFont val="Calibri"/>
        <family val="2"/>
      </rPr>
      <t>Endpoint Profile</t>
    </r>
    <r>
      <rPr>
        <sz val="11"/>
        <color theme="1"/>
        <rFont val="Calibri"/>
        <family val="2"/>
        <scheme val="minor"/>
      </rPr>
      <t xml:space="preserve"> to open sub-section</t>
    </r>
  </si>
  <si>
    <t>Endpoint Profile (Checkbox)</t>
  </si>
  <si>
    <t>Box is Checked</t>
  </si>
  <si>
    <r>
      <t xml:space="preserve">Confirm that the checkbox next to the </t>
    </r>
    <r>
      <rPr>
        <b/>
        <sz val="11"/>
        <color indexed="8"/>
        <rFont val="Calibri"/>
        <family val="2"/>
      </rPr>
      <t>Endpoint Profile</t>
    </r>
    <r>
      <rPr>
        <sz val="11"/>
        <color theme="1"/>
        <rFont val="Calibri"/>
        <family val="2"/>
        <scheme val="minor"/>
      </rPr>
      <t xml:space="preserve"> section title is still checked.</t>
    </r>
  </si>
  <si>
    <t>If it has become unchecked, re-check it!</t>
  </si>
  <si>
    <r>
      <t xml:space="preserve">Confirm that template install completes successfully - See </t>
    </r>
    <r>
      <rPr>
        <b/>
        <u/>
        <sz val="11"/>
        <color indexed="10"/>
        <rFont val="Calibri"/>
        <family val="2"/>
      </rPr>
      <t>Important Note</t>
    </r>
    <r>
      <rPr>
        <sz val="11"/>
        <color theme="1"/>
        <rFont val="Calibri"/>
        <family val="2"/>
        <scheme val="minor"/>
      </rPr>
      <t xml:space="preserve"> to the right, in the "Note" column of this worksheet --&gt;</t>
    </r>
  </si>
  <si>
    <t>Click User Administration</t>
  </si>
  <si>
    <t>Click Authentication File</t>
  </si>
  <si>
    <t>Click Upload button</t>
  </si>
  <si>
    <t>Click Open</t>
  </si>
  <si>
    <t>Click Force load of new file box</t>
  </si>
  <si>
    <t>Click Install</t>
  </si>
  <si>
    <t>(click Save button)</t>
  </si>
  <si>
    <t>(click New button)</t>
  </si>
  <si>
    <t>Dashboard</t>
  </si>
  <si>
    <t>(navigate to Dashboard)</t>
  </si>
  <si>
    <t>(navigate to Manager Users)</t>
  </si>
  <si>
    <t>(click Add button)</t>
  </si>
  <si>
    <t>Session Manager Profile</t>
  </si>
  <si>
    <t>(click Session Manager Profile checkbox)</t>
  </si>
  <si>
    <t>Endpoint Profile</t>
  </si>
  <si>
    <t>(click Endpoint Profile checkbox)</t>
  </si>
  <si>
    <r>
      <t xml:space="preserve">Click the </t>
    </r>
    <r>
      <rPr>
        <b/>
        <sz val="11"/>
        <color indexed="8"/>
        <rFont val="Calibri"/>
        <family val="2"/>
      </rPr>
      <t>Endpoint Editor</t>
    </r>
    <r>
      <rPr>
        <sz val="11"/>
        <color theme="1"/>
        <rFont val="Calibri"/>
        <family val="2"/>
        <scheme val="minor"/>
      </rPr>
      <t xml:space="preserve"> button</t>
    </r>
  </si>
  <si>
    <t>Endpoint Editor (button)</t>
  </si>
  <si>
    <t>(click the Endpoint Editor button)</t>
  </si>
  <si>
    <t>This step selects trunk group 3 for the CM-SM SIP trunk, overriding the SMGR's 9630SIP telephone template value.</t>
  </si>
  <si>
    <t>SIP Trunk</t>
  </si>
  <si>
    <r>
      <t xml:space="preserve">When the Endpoint Editor has launched, locate the </t>
    </r>
    <r>
      <rPr>
        <b/>
        <sz val="11"/>
        <color indexed="8"/>
        <rFont val="Calibri"/>
        <family val="2"/>
      </rPr>
      <t>SIP Trunk</t>
    </r>
    <r>
      <rPr>
        <sz val="11"/>
        <color theme="1"/>
        <rFont val="Calibri"/>
        <family val="2"/>
        <scheme val="minor"/>
      </rPr>
      <t xml:space="preserve"> field under the </t>
    </r>
    <r>
      <rPr>
        <b/>
        <sz val="11"/>
        <color indexed="8"/>
        <rFont val="Calibri"/>
        <family val="2"/>
      </rPr>
      <t xml:space="preserve">General Options </t>
    </r>
    <r>
      <rPr>
        <sz val="11"/>
        <color theme="1"/>
        <rFont val="Calibri"/>
        <family val="2"/>
        <scheme val="minor"/>
      </rPr>
      <t>section, and overwrite the "aar" that is displayed there with the number, 3.</t>
    </r>
  </si>
  <si>
    <t>IP Video</t>
  </si>
  <si>
    <t>(check the IP Video checkbox)</t>
  </si>
  <si>
    <r>
      <t xml:space="preserve">Click the </t>
    </r>
    <r>
      <rPr>
        <b/>
        <sz val="11"/>
        <color indexed="8"/>
        <rFont val="Calibri"/>
        <family val="2"/>
      </rPr>
      <t>Done</t>
    </r>
    <r>
      <rPr>
        <sz val="11"/>
        <color theme="1"/>
        <rFont val="Calibri"/>
        <family val="2"/>
        <scheme val="minor"/>
      </rPr>
      <t xml:space="preserve"> button at the top of the page.</t>
    </r>
  </si>
  <si>
    <t>Done (button)</t>
  </si>
  <si>
    <t>(click the Done button)</t>
  </si>
  <si>
    <t>The Endpoint Editor closes, and you're back in the Endpoint Profile section of the Manage User page.</t>
  </si>
  <si>
    <t>(click the Commit button)</t>
  </si>
  <si>
    <t>URL</t>
  </si>
  <si>
    <r>
      <t xml:space="preserve">You may have to click the </t>
    </r>
    <r>
      <rPr>
        <b/>
        <sz val="11"/>
        <color indexed="8"/>
        <rFont val="Calibri"/>
        <family val="2"/>
      </rPr>
      <t>Open With</t>
    </r>
    <r>
      <rPr>
        <sz val="11"/>
        <color theme="1"/>
        <rFont val="Calibri"/>
        <family val="2"/>
        <scheme val="minor"/>
      </rPr>
      <t xml:space="preserve"> button and then click the </t>
    </r>
    <r>
      <rPr>
        <b/>
        <sz val="11"/>
        <color indexed="8"/>
        <rFont val="Calibri"/>
        <family val="2"/>
      </rPr>
      <t>Save File</t>
    </r>
    <r>
      <rPr>
        <sz val="11"/>
        <color theme="1"/>
        <rFont val="Calibri"/>
        <family val="2"/>
        <scheme val="minor"/>
      </rPr>
      <t xml:space="preserve"> button in order to get the </t>
    </r>
    <r>
      <rPr>
        <b/>
        <sz val="11"/>
        <color indexed="8"/>
        <rFont val="Calibri"/>
        <family val="2"/>
      </rPr>
      <t>OK</t>
    </r>
    <r>
      <rPr>
        <sz val="11"/>
        <color theme="1"/>
        <rFont val="Calibri"/>
        <family val="2"/>
        <scheme val="minor"/>
      </rPr>
      <t xml:space="preserve"> button to enable.</t>
    </r>
  </si>
  <si>
    <t>Save File (button), OK (button)</t>
  </si>
  <si>
    <t>tab to OK, hit Enter</t>
  </si>
  <si>
    <t>Tab to OK, hit Enter</t>
  </si>
  <si>
    <t>Hit Enter in response to Info Screen</t>
  </si>
  <si>
    <t>dom0 FQDN</t>
  </si>
  <si>
    <t>dom0 Default Gateway</t>
  </si>
  <si>
    <t>cdom FQDN</t>
  </si>
  <si>
    <t>TimeZone</t>
  </si>
  <si>
    <t>Check box for NTP Enabled</t>
  </si>
  <si>
    <t>root Password</t>
  </si>
  <si>
    <t>Step: Confirm that all VM IP addresses are currently unused</t>
  </si>
  <si>
    <t>Login as admin</t>
  </si>
  <si>
    <t>Midsize_Ent.ovf</t>
  </si>
  <si>
    <t>On Session Manager form, enter the enrollment  password</t>
  </si>
  <si>
    <t>Use browser to access Presence Server XCP Controller</t>
  </si>
  <si>
    <t>Save (Button)</t>
  </si>
  <si>
    <t>7-digit</t>
  </si>
  <si>
    <t>5350001</t>
  </si>
  <si>
    <t>Zero here means leave the field blank</t>
  </si>
  <si>
    <t>(Enter Hour)</t>
  </si>
  <si>
    <t>(Enter Minute)</t>
  </si>
  <si>
    <t>(Enter Second)</t>
  </si>
  <si>
    <t>(Enter Year)</t>
  </si>
  <si>
    <t>(Enter Day)</t>
  </si>
  <si>
    <t>(Enter Month)</t>
  </si>
  <si>
    <t>Enter the correct time of day and date.</t>
  </si>
  <si>
    <r>
      <t xml:space="preserve">Note: Synchronization Status can take several minutes to change from  </t>
    </r>
    <r>
      <rPr>
        <b/>
        <sz val="11"/>
        <color indexed="8"/>
        <rFont val="Calibri"/>
        <family val="2"/>
      </rPr>
      <t>Unreachable</t>
    </r>
    <r>
      <rPr>
        <sz val="11"/>
        <color theme="1"/>
        <rFont val="Calibri"/>
        <family val="2"/>
        <scheme val="minor"/>
      </rPr>
      <t xml:space="preserve"> to </t>
    </r>
    <r>
      <rPr>
        <b/>
        <sz val="11"/>
        <color indexed="8"/>
        <rFont val="Calibri"/>
        <family val="2"/>
      </rPr>
      <t>Synchronized.</t>
    </r>
    <r>
      <rPr>
        <sz val="11"/>
        <color theme="1"/>
        <rFont val="Calibri"/>
        <family val="2"/>
        <scheme val="minor"/>
      </rPr>
      <t xml:space="preserve">  If it does not change, you'll have to troubleshoot the Data Replication Service (DRS) in SM and SMGR.</t>
    </r>
  </si>
  <si>
    <t>(click the check box)</t>
  </si>
  <si>
    <t>View Replica Nodes (button)</t>
  </si>
  <si>
    <t>(click the button)</t>
  </si>
  <si>
    <t>Click the check box next to the SM instance for your server.</t>
  </si>
  <si>
    <t>Replica Node Host Name</t>
  </si>
  <si>
    <t>(Remove Button)</t>
  </si>
  <si>
    <t>(OK Button)</t>
  </si>
  <si>
    <r>
      <t xml:space="preserve">Click the </t>
    </r>
    <r>
      <rPr>
        <b/>
        <sz val="11"/>
        <color indexed="8"/>
        <rFont val="Calibri"/>
        <family val="2"/>
      </rPr>
      <t>View Replica Nodes</t>
    </r>
    <r>
      <rPr>
        <sz val="11"/>
        <color theme="1"/>
        <rFont val="Calibri"/>
        <family val="2"/>
        <scheme val="minor"/>
      </rPr>
      <t xml:space="preserve"> button</t>
    </r>
  </si>
  <si>
    <r>
      <t xml:space="preserve">Click the </t>
    </r>
    <r>
      <rPr>
        <b/>
        <sz val="11"/>
        <color indexed="8"/>
        <rFont val="Calibri"/>
        <family val="2"/>
      </rPr>
      <t>Remove</t>
    </r>
    <r>
      <rPr>
        <sz val="11"/>
        <color theme="1"/>
        <rFont val="Calibri"/>
        <family val="2"/>
        <scheme val="minor"/>
      </rPr>
      <t xml:space="preserve"> button</t>
    </r>
  </si>
  <si>
    <t>A warning dialog box appears, indicating that the selected replica node is active.  Click the OK button.</t>
  </si>
  <si>
    <t>Tests Pass, Security Module</t>
  </si>
  <si>
    <t>Green checkmark, Green "up"</t>
  </si>
  <si>
    <t>Enter User's Last Name</t>
  </si>
  <si>
    <t>Enter User's First Name</t>
  </si>
  <si>
    <t>Status</t>
  </si>
  <si>
    <t>Running</t>
  </si>
  <si>
    <t>Ensure all services are green (Running)</t>
  </si>
  <si>
    <t>(Edit Button)</t>
  </si>
  <si>
    <r>
      <t xml:space="preserve">Click the </t>
    </r>
    <r>
      <rPr>
        <b/>
        <sz val="11"/>
        <color indexed="8"/>
        <rFont val="Calibri"/>
        <family val="2"/>
      </rPr>
      <t>Edit</t>
    </r>
    <r>
      <rPr>
        <sz val="11"/>
        <color theme="1"/>
        <rFont val="Calibri"/>
        <family val="2"/>
        <scheme val="minor"/>
      </rPr>
      <t xml:space="preserve"> button</t>
    </r>
  </si>
  <si>
    <t>Save (button)</t>
  </si>
  <si>
    <t>5350004</t>
  </si>
  <si>
    <t>DEFAULT_9640SIP_CM_6_0</t>
  </si>
  <si>
    <r>
      <t xml:space="preserve">Locate the </t>
    </r>
    <r>
      <rPr>
        <b/>
        <sz val="11"/>
        <color indexed="8"/>
        <rFont val="Calibri"/>
        <family val="2"/>
      </rPr>
      <t>IP SoftPhone</t>
    </r>
    <r>
      <rPr>
        <sz val="11"/>
        <color theme="1"/>
        <rFont val="Calibri"/>
        <family val="2"/>
        <scheme val="minor"/>
      </rPr>
      <t xml:space="preserve"> checkbox in the </t>
    </r>
    <r>
      <rPr>
        <b/>
        <sz val="11"/>
        <color indexed="8"/>
        <rFont val="Calibri"/>
        <family val="2"/>
      </rPr>
      <t>Features</t>
    </r>
    <r>
      <rPr>
        <sz val="11"/>
        <color theme="1"/>
        <rFont val="Calibri"/>
        <family val="2"/>
        <scheme val="minor"/>
      </rPr>
      <t xml:space="preserve"> subsection of the </t>
    </r>
    <r>
      <rPr>
        <b/>
        <sz val="11"/>
        <color indexed="8"/>
        <rFont val="Calibri"/>
        <family val="2"/>
      </rPr>
      <t>Feature Options</t>
    </r>
    <r>
      <rPr>
        <sz val="11"/>
        <color theme="1"/>
        <rFont val="Calibri"/>
        <family val="2"/>
        <scheme val="minor"/>
      </rPr>
      <t xml:space="preserve"> section, and check it.</t>
    </r>
  </si>
  <si>
    <t>IP SoftPhone</t>
  </si>
  <si>
    <t>(check the IP SoftPhone checkbox)</t>
  </si>
  <si>
    <r>
      <t xml:space="preserve">Locate the </t>
    </r>
    <r>
      <rPr>
        <b/>
        <sz val="11"/>
        <color indexed="8"/>
        <rFont val="Calibri"/>
        <family val="2"/>
      </rPr>
      <t>IP Video Softphone</t>
    </r>
    <r>
      <rPr>
        <sz val="11"/>
        <color theme="1"/>
        <rFont val="Calibri"/>
        <family val="2"/>
        <scheme val="minor"/>
      </rPr>
      <t xml:space="preserve"> checkbox in the </t>
    </r>
    <r>
      <rPr>
        <b/>
        <sz val="11"/>
        <color indexed="8"/>
        <rFont val="Calibri"/>
        <family val="2"/>
      </rPr>
      <t>Features</t>
    </r>
    <r>
      <rPr>
        <sz val="11"/>
        <color theme="1"/>
        <rFont val="Calibri"/>
        <family val="2"/>
        <scheme val="minor"/>
      </rPr>
      <t xml:space="preserve"> subsection of the </t>
    </r>
    <r>
      <rPr>
        <b/>
        <sz val="11"/>
        <color indexed="8"/>
        <rFont val="Calibri"/>
        <family val="2"/>
      </rPr>
      <t>Feature Options</t>
    </r>
    <r>
      <rPr>
        <sz val="11"/>
        <color theme="1"/>
        <rFont val="Calibri"/>
        <family val="2"/>
        <scheme val="minor"/>
      </rPr>
      <t xml:space="preserve"> section, and check it.</t>
    </r>
  </si>
  <si>
    <t>IP Video Softphone</t>
  </si>
  <si>
    <t>(check the IP Video Softphone checkbox)</t>
  </si>
  <si>
    <r>
      <t xml:space="preserve">In the </t>
    </r>
    <r>
      <rPr>
        <b/>
        <sz val="11"/>
        <color indexed="8"/>
        <rFont val="Calibri"/>
        <family val="2"/>
      </rPr>
      <t>Main Buttons</t>
    </r>
    <r>
      <rPr>
        <sz val="11"/>
        <color theme="1"/>
        <rFont val="Calibri"/>
        <family val="2"/>
        <scheme val="minor"/>
      </rPr>
      <t xml:space="preserve"> and </t>
    </r>
    <r>
      <rPr>
        <b/>
        <sz val="11"/>
        <color indexed="8"/>
        <rFont val="Calibri"/>
        <family val="2"/>
      </rPr>
      <t>Feature Buttons</t>
    </r>
    <r>
      <rPr>
        <sz val="11"/>
        <color theme="1"/>
        <rFont val="Calibri"/>
        <family val="2"/>
        <scheme val="minor"/>
      </rPr>
      <t xml:space="preserve"> section, set the number of call appearances to five (5):</t>
    </r>
  </si>
  <si>
    <t>Step: Configure 1XC User 5350006</t>
  </si>
  <si>
    <r>
      <t xml:space="preserve">In the </t>
    </r>
    <r>
      <rPr>
        <b/>
        <sz val="11"/>
        <color indexed="8"/>
        <rFont val="Calibri"/>
        <family val="2"/>
      </rPr>
      <t>Main Buttons</t>
    </r>
    <r>
      <rPr>
        <sz val="11"/>
        <color theme="1"/>
        <rFont val="Calibri"/>
        <family val="2"/>
        <scheme val="minor"/>
      </rPr>
      <t xml:space="preserve"> and </t>
    </r>
    <r>
      <rPr>
        <b/>
        <sz val="11"/>
        <color indexed="8"/>
        <rFont val="Calibri"/>
        <family val="2"/>
      </rPr>
      <t>Feature Buttons</t>
    </r>
    <r>
      <rPr>
        <sz val="11"/>
        <color theme="1"/>
        <rFont val="Calibri"/>
        <family val="2"/>
        <scheme val="minor"/>
      </rPr>
      <t xml:space="preserve"> section, set the number of call appearances to three (3):</t>
    </r>
  </si>
  <si>
    <t>Save Translations:</t>
  </si>
  <si>
    <t xml:space="preserve"> Navigate to Elements-&gt;Inventory-&gt;Synchronization-&gt;Communication System</t>
  </si>
  <si>
    <t>Click the checkbox for your CM System</t>
  </si>
  <si>
    <r>
      <t xml:space="preserve">Select the radio button next to </t>
    </r>
    <r>
      <rPr>
        <b/>
        <sz val="11"/>
        <color indexed="8"/>
        <rFont val="Calibri"/>
        <family val="2"/>
      </rPr>
      <t>Save Translations for selected devices</t>
    </r>
  </si>
  <si>
    <r>
      <t xml:space="preserve">Click the </t>
    </r>
    <r>
      <rPr>
        <b/>
        <sz val="11"/>
        <color indexed="8"/>
        <rFont val="Calibri"/>
        <family val="2"/>
      </rPr>
      <t>Now</t>
    </r>
    <r>
      <rPr>
        <sz val="11"/>
        <color theme="1"/>
        <rFont val="Calibri"/>
        <family val="2"/>
        <scheme val="minor"/>
      </rPr>
      <t xml:space="preserve"> button at the bottom of the form</t>
    </r>
  </si>
  <si>
    <t>When the form has refreshed, confirm that Completed appears under Sync Status for your CM System</t>
  </si>
  <si>
    <t>(Check Box to the left of your CM System's name)</t>
  </si>
  <si>
    <r>
      <t xml:space="preserve">(Radio button for </t>
    </r>
    <r>
      <rPr>
        <b/>
        <sz val="11"/>
        <color indexed="8"/>
        <rFont val="Calibri"/>
        <family val="2"/>
      </rPr>
      <t>Save Translations for selected devices</t>
    </r>
    <r>
      <rPr>
        <sz val="11"/>
        <color theme="1"/>
        <rFont val="Calibri"/>
        <family val="2"/>
        <scheme val="minor"/>
      </rPr>
      <t>)</t>
    </r>
  </si>
  <si>
    <t>(click the radio button)</t>
  </si>
  <si>
    <r>
      <t>(</t>
    </r>
    <r>
      <rPr>
        <b/>
        <sz val="11"/>
        <color indexed="8"/>
        <rFont val="Calibri"/>
        <family val="2"/>
      </rPr>
      <t>Now</t>
    </r>
    <r>
      <rPr>
        <sz val="11"/>
        <color theme="1"/>
        <rFont val="Calibri"/>
        <family val="2"/>
        <scheme val="minor"/>
      </rPr>
      <t xml:space="preserve"> button)</t>
    </r>
  </si>
  <si>
    <r>
      <t xml:space="preserve">(click the </t>
    </r>
    <r>
      <rPr>
        <b/>
        <sz val="11"/>
        <color indexed="8"/>
        <rFont val="Calibri"/>
        <family val="2"/>
      </rPr>
      <t>Now</t>
    </r>
    <r>
      <rPr>
        <sz val="11"/>
        <color theme="1"/>
        <rFont val="Calibri"/>
        <family val="2"/>
        <scheme val="minor"/>
      </rPr>
      <t xml:space="preserve"> button)</t>
    </r>
  </si>
  <si>
    <t>Sync Status</t>
  </si>
  <si>
    <r>
      <t xml:space="preserve">(Confirm that </t>
    </r>
    <r>
      <rPr>
        <b/>
        <sz val="11"/>
        <color indexed="8"/>
        <rFont val="Calibri"/>
        <family val="2"/>
      </rPr>
      <t>Completed</t>
    </r>
    <r>
      <rPr>
        <sz val="11"/>
        <color theme="1"/>
        <rFont val="Calibri"/>
        <family val="2"/>
        <scheme val="minor"/>
      </rPr>
      <t xml:space="preserve"> appears)</t>
    </r>
  </si>
  <si>
    <t xml:space="preserve">Instructions:   </t>
  </si>
  <si>
    <t>Worksheet</t>
  </si>
  <si>
    <t>Line No.</t>
  </si>
  <si>
    <t>Description of Change</t>
  </si>
  <si>
    <t>Local File System</t>
  </si>
  <si>
    <t>Add… (button)</t>
  </si>
  <si>
    <r>
      <t xml:space="preserve">Click the </t>
    </r>
    <r>
      <rPr>
        <b/>
        <sz val="11"/>
        <color indexed="8"/>
        <rFont val="Calibri"/>
        <family val="2"/>
      </rPr>
      <t>Upload</t>
    </r>
    <r>
      <rPr>
        <sz val="11"/>
        <color theme="1"/>
        <rFont val="Calibri"/>
        <family val="2"/>
        <scheme val="minor"/>
      </rPr>
      <t xml:space="preserve"> button</t>
    </r>
  </si>
  <si>
    <t>Upload (button)</t>
  </si>
  <si>
    <r>
      <t xml:space="preserve">Click the </t>
    </r>
    <r>
      <rPr>
        <b/>
        <sz val="11"/>
        <color indexed="8"/>
        <rFont val="Calibri"/>
        <family val="2"/>
      </rPr>
      <t>Install</t>
    </r>
    <r>
      <rPr>
        <sz val="11"/>
        <color theme="1"/>
        <rFont val="Calibri"/>
        <family val="2"/>
        <scheme val="minor"/>
      </rPr>
      <t xml:space="preserve"> button</t>
    </r>
  </si>
  <si>
    <t>Home (tab)</t>
  </si>
  <si>
    <t>(click the Home tab)</t>
  </si>
  <si>
    <r>
      <t xml:space="preserve">Click on the </t>
    </r>
    <r>
      <rPr>
        <b/>
        <sz val="11"/>
        <rFont val="Calibri"/>
        <family val="2"/>
      </rPr>
      <t>Home</t>
    </r>
    <r>
      <rPr>
        <sz val="11"/>
        <rFont val="Calibri"/>
        <family val="2"/>
      </rPr>
      <t xml:space="preserve"> tab at the top right corner of the form</t>
    </r>
  </si>
  <si>
    <r>
      <t xml:space="preserve">In the </t>
    </r>
    <r>
      <rPr>
        <b/>
        <sz val="11"/>
        <color indexed="8"/>
        <rFont val="Calibri"/>
        <family val="2"/>
      </rPr>
      <t>Elements</t>
    </r>
    <r>
      <rPr>
        <sz val="11"/>
        <color theme="1"/>
        <rFont val="Calibri"/>
        <family val="2"/>
        <scheme val="minor"/>
      </rPr>
      <t xml:space="preserve"> column</t>
    </r>
    <r>
      <rPr>
        <b/>
        <sz val="11"/>
        <color indexed="8"/>
        <rFont val="Calibri"/>
        <family val="2"/>
      </rPr>
      <t>, c</t>
    </r>
    <r>
      <rPr>
        <sz val="11"/>
        <color theme="1"/>
        <rFont val="Calibri"/>
        <family val="2"/>
        <scheme val="minor"/>
      </rPr>
      <t xml:space="preserve">lick on </t>
    </r>
    <r>
      <rPr>
        <b/>
        <sz val="11"/>
        <color indexed="8"/>
        <rFont val="Calibri"/>
        <family val="2"/>
      </rPr>
      <t>Routing</t>
    </r>
  </si>
  <si>
    <t>Routing (link)</t>
  </si>
  <si>
    <t>(click Routing link)</t>
  </si>
  <si>
    <r>
      <t xml:space="preserve">Click the </t>
    </r>
    <r>
      <rPr>
        <b/>
        <sz val="11"/>
        <color indexed="8"/>
        <rFont val="Calibri"/>
        <family val="2"/>
      </rPr>
      <t>Confirm</t>
    </r>
    <r>
      <rPr>
        <sz val="11"/>
        <color theme="1"/>
        <rFont val="Calibri"/>
        <family val="2"/>
        <scheme val="minor"/>
      </rPr>
      <t xml:space="preserve"> button on the confirmation page</t>
    </r>
  </si>
  <si>
    <t>Confirm (Button)</t>
  </si>
  <si>
    <t>(click the Confirm button)</t>
  </si>
  <si>
    <r>
      <t xml:space="preserve">In the </t>
    </r>
    <r>
      <rPr>
        <b/>
        <sz val="11"/>
        <color indexed="8"/>
        <rFont val="Calibri"/>
        <family val="2"/>
      </rPr>
      <t>Services</t>
    </r>
    <r>
      <rPr>
        <sz val="11"/>
        <color theme="1"/>
        <rFont val="Calibri"/>
        <family val="2"/>
        <scheme val="minor"/>
      </rPr>
      <t xml:space="preserve"> column</t>
    </r>
    <r>
      <rPr>
        <b/>
        <sz val="11"/>
        <color indexed="8"/>
        <rFont val="Calibri"/>
        <family val="2"/>
      </rPr>
      <t>, c</t>
    </r>
    <r>
      <rPr>
        <sz val="11"/>
        <color theme="1"/>
        <rFont val="Calibri"/>
        <family val="2"/>
        <scheme val="minor"/>
      </rPr>
      <t xml:space="preserve">lick on </t>
    </r>
    <r>
      <rPr>
        <b/>
        <sz val="11"/>
        <color indexed="8"/>
        <rFont val="Calibri"/>
        <family val="2"/>
      </rPr>
      <t>Replication</t>
    </r>
  </si>
  <si>
    <t>Replication (link)</t>
  </si>
  <si>
    <t>(click Replication link)</t>
  </si>
  <si>
    <t>Note: Repair can take several minutes.  Click the Refresh link in the Replica Groups table to refresh the form.  If the status changes to Synchronized, this step is complete.</t>
  </si>
  <si>
    <t>(click the tab)</t>
  </si>
  <si>
    <t>Change Password</t>
  </si>
  <si>
    <t>(click the link)</t>
  </si>
  <si>
    <t>admin/Avaya123!</t>
  </si>
  <si>
    <r>
      <t xml:space="preserve">Enter </t>
    </r>
    <r>
      <rPr>
        <b/>
        <sz val="11"/>
        <color indexed="8"/>
        <rFont val="Calibri"/>
        <family val="2"/>
      </rPr>
      <t>admin</t>
    </r>
    <r>
      <rPr>
        <sz val="11"/>
        <color theme="1"/>
        <rFont val="Calibri"/>
        <family val="2"/>
        <scheme val="minor"/>
      </rPr>
      <t xml:space="preserve"> for the User ID</t>
    </r>
  </si>
  <si>
    <t>User ID:</t>
  </si>
  <si>
    <r>
      <t xml:space="preserve">Enter </t>
    </r>
    <r>
      <rPr>
        <b/>
        <sz val="11"/>
        <color indexed="8"/>
        <rFont val="Calibri"/>
        <family val="2"/>
      </rPr>
      <t>admin123</t>
    </r>
    <r>
      <rPr>
        <sz val="11"/>
        <color theme="1"/>
        <rFont val="Calibri"/>
        <family val="2"/>
        <scheme val="minor"/>
      </rPr>
      <t xml:space="preserve"> for the Current password</t>
    </r>
  </si>
  <si>
    <t>Current password:</t>
  </si>
  <si>
    <t>New password:</t>
  </si>
  <si>
    <t>Avaya123!</t>
  </si>
  <si>
    <r>
      <t xml:space="preserve">Enter </t>
    </r>
    <r>
      <rPr>
        <b/>
        <sz val="11"/>
        <color indexed="8"/>
        <rFont val="Calibri"/>
        <family val="2"/>
      </rPr>
      <t>Avaya123!</t>
    </r>
    <r>
      <rPr>
        <sz val="11"/>
        <color theme="1"/>
        <rFont val="Calibri"/>
        <family val="2"/>
        <scheme val="minor"/>
      </rPr>
      <t xml:space="preserve"> for New password</t>
    </r>
  </si>
  <si>
    <r>
      <t xml:space="preserve">Enter </t>
    </r>
    <r>
      <rPr>
        <b/>
        <sz val="11"/>
        <color indexed="8"/>
        <rFont val="Calibri"/>
        <family val="2"/>
      </rPr>
      <t>Avaya123!</t>
    </r>
    <r>
      <rPr>
        <sz val="11"/>
        <color theme="1"/>
        <rFont val="Calibri"/>
        <family val="2"/>
        <scheme val="minor"/>
      </rPr>
      <t xml:space="preserve"> for Confirm new password</t>
    </r>
  </si>
  <si>
    <t>Confirm new password:</t>
  </si>
  <si>
    <r>
      <t xml:space="preserve">You must set the admin password  before you can login, if you access SMGR via IP address rather than FQDN.  It is not necessary to login in order to set the admin password on first access, i.e., the </t>
    </r>
    <r>
      <rPr>
        <b/>
        <sz val="11"/>
        <color indexed="8"/>
        <rFont val="Calibri"/>
        <family val="2"/>
      </rPr>
      <t>Change</t>
    </r>
    <r>
      <rPr>
        <sz val="11"/>
        <color theme="1"/>
        <rFont val="Calibri"/>
        <family val="2"/>
        <scheme val="minor"/>
      </rPr>
      <t xml:space="preserve"> </t>
    </r>
    <r>
      <rPr>
        <b/>
        <sz val="11"/>
        <color indexed="8"/>
        <rFont val="Calibri"/>
        <family val="2"/>
      </rPr>
      <t>Password</t>
    </r>
    <r>
      <rPr>
        <sz val="11"/>
        <color theme="1"/>
        <rFont val="Calibri"/>
        <family val="2"/>
        <scheme val="minor"/>
      </rPr>
      <t xml:space="preserve"> link works when you are not already logged in.</t>
    </r>
  </si>
  <si>
    <r>
      <t xml:space="preserve">Click the </t>
    </r>
    <r>
      <rPr>
        <b/>
        <sz val="11"/>
        <color indexed="8"/>
        <rFont val="Calibri"/>
        <family val="2"/>
      </rPr>
      <t>Primary Login</t>
    </r>
    <r>
      <rPr>
        <sz val="11"/>
        <color theme="1"/>
        <rFont val="Calibri"/>
        <family val="2"/>
        <scheme val="minor"/>
      </rPr>
      <t xml:space="preserve"> link to return to the login page</t>
    </r>
  </si>
  <si>
    <t>Primary Login</t>
  </si>
  <si>
    <t>User ID:/Password:</t>
  </si>
  <si>
    <t>CommunicationManager1</t>
  </si>
  <si>
    <t>Select System Manager or a Session Manager to test
Execute All Tests</t>
  </si>
  <si>
    <r>
      <t xml:space="preserve">If value is </t>
    </r>
    <r>
      <rPr>
        <b/>
        <sz val="11"/>
        <color indexed="8"/>
        <rFont val="Calibri"/>
        <family val="2"/>
      </rPr>
      <t>Unreachable</t>
    </r>
    <r>
      <rPr>
        <sz val="11"/>
        <color theme="1"/>
        <rFont val="Calibri"/>
        <family val="2"/>
        <scheme val="minor"/>
      </rPr>
      <t xml:space="preserve">, click </t>
    </r>
    <r>
      <rPr>
        <b/>
        <sz val="11"/>
        <color indexed="8"/>
        <rFont val="Calibri"/>
        <family val="2"/>
      </rPr>
      <t>Repair</t>
    </r>
    <r>
      <rPr>
        <sz val="11"/>
        <color theme="1"/>
        <rFont val="Calibri"/>
        <family val="2"/>
        <scheme val="minor"/>
      </rPr>
      <t xml:space="preserve"> button</t>
    </r>
  </si>
  <si>
    <r>
      <t xml:space="preserve">If the Synchronization Status is </t>
    </r>
    <r>
      <rPr>
        <b/>
        <sz val="11"/>
        <color indexed="8"/>
        <rFont val="Calibri"/>
        <family val="2"/>
      </rPr>
      <t>Queued for Repair</t>
    </r>
    <r>
      <rPr>
        <sz val="11"/>
        <color theme="1"/>
        <rFont val="Calibri"/>
        <family val="2"/>
        <scheme val="minor"/>
      </rPr>
      <t xml:space="preserve"> (Yellow) and appears to be stuck there, you have a stale replica node.  Perform the following steps to remove that node and create a new one.</t>
    </r>
  </si>
  <si>
    <r>
      <t xml:space="preserve">On the </t>
    </r>
    <r>
      <rPr>
        <b/>
        <sz val="11"/>
        <color indexed="8"/>
        <rFont val="Calibri"/>
        <family val="2"/>
      </rPr>
      <t>Session Manager -&gt; Dashboard</t>
    </r>
    <r>
      <rPr>
        <sz val="11"/>
        <color theme="1"/>
        <rFont val="Calibri"/>
        <family val="2"/>
        <scheme val="minor"/>
      </rPr>
      <t xml:space="preserve"> page, confirm green status for </t>
    </r>
    <r>
      <rPr>
        <b/>
        <sz val="11"/>
        <color indexed="8"/>
        <rFont val="Calibri"/>
        <family val="2"/>
      </rPr>
      <t xml:space="preserve">Tests Pass </t>
    </r>
    <r>
      <rPr>
        <sz val="11"/>
        <color theme="1"/>
        <rFont val="Calibri"/>
        <family val="2"/>
        <scheme val="minor"/>
      </rPr>
      <t xml:space="preserve">and </t>
    </r>
    <r>
      <rPr>
        <b/>
        <sz val="11"/>
        <color indexed="8"/>
        <rFont val="Calibri"/>
        <family val="2"/>
      </rPr>
      <t>Security Module</t>
    </r>
    <r>
      <rPr>
        <sz val="11"/>
        <color theme="1"/>
        <rFont val="Calibri"/>
        <family val="2"/>
        <scheme val="minor"/>
      </rPr>
      <t>.</t>
    </r>
  </si>
  <si>
    <t>Inventory (link)</t>
  </si>
  <si>
    <t>(click Inventory link)</t>
  </si>
  <si>
    <t>SMGRUser01</t>
  </si>
  <si>
    <r>
      <t xml:space="preserve">Click on </t>
    </r>
    <r>
      <rPr>
        <b/>
        <sz val="11"/>
        <rFont val="Calibri"/>
        <family val="2"/>
      </rPr>
      <t>Session</t>
    </r>
    <r>
      <rPr>
        <sz val="11"/>
        <rFont val="Calibri"/>
        <family val="2"/>
      </rPr>
      <t xml:space="preserve"> </t>
    </r>
    <r>
      <rPr>
        <b/>
        <sz val="11"/>
        <rFont val="Calibri"/>
        <family val="2"/>
      </rPr>
      <t>Manager</t>
    </r>
    <r>
      <rPr>
        <sz val="11"/>
        <rFont val="Calibri"/>
        <family val="2"/>
      </rPr>
      <t xml:space="preserve"> under the </t>
    </r>
    <r>
      <rPr>
        <b/>
        <sz val="11"/>
        <rFont val="Calibri"/>
        <family val="2"/>
      </rPr>
      <t>Elements</t>
    </r>
    <r>
      <rPr>
        <sz val="11"/>
        <rFont val="Calibri"/>
        <family val="2"/>
      </rPr>
      <t xml:space="preserve"> column</t>
    </r>
  </si>
  <si>
    <t>Elements</t>
  </si>
  <si>
    <t>Edit (button)</t>
  </si>
  <si>
    <r>
      <t xml:space="preserve">Click the </t>
    </r>
    <r>
      <rPr>
        <b/>
        <sz val="11"/>
        <color indexed="8"/>
        <rFont val="Calibri"/>
        <family val="2"/>
      </rPr>
      <t>Communication Profile</t>
    </r>
    <r>
      <rPr>
        <sz val="11"/>
        <color theme="1"/>
        <rFont val="Calibri"/>
        <family val="2"/>
        <scheme val="minor"/>
      </rPr>
      <t xml:space="preserve"> tab</t>
    </r>
  </si>
  <si>
    <t>Communication Profile (Tab)</t>
  </si>
  <si>
    <t>Enter Communication Profile Password</t>
  </si>
  <si>
    <t>Re-enter  Communication Profile Password</t>
  </si>
  <si>
    <t>This is the password a user uses to access endpoint profile settings in SMGR.</t>
  </si>
  <si>
    <t>Note: English is the only selection at present, unless your browser is set up to support a different language.</t>
  </si>
  <si>
    <r>
      <t xml:space="preserve">Confirm that the Profile Type drop-down shows </t>
    </r>
    <r>
      <rPr>
        <b/>
        <sz val="11"/>
        <color indexed="8"/>
        <rFont val="Calibri"/>
        <family val="2"/>
      </rPr>
      <t>Endpoint</t>
    </r>
  </si>
  <si>
    <t>Endpoint (menu selection)</t>
  </si>
  <si>
    <t>Profile Type (drop-down)</t>
  </si>
  <si>
    <r>
      <t>Select the s</t>
    </r>
    <r>
      <rPr>
        <sz val="11"/>
        <color indexed="8"/>
        <rFont val="Calibri"/>
        <family val="2"/>
      </rPr>
      <t>et type</t>
    </r>
    <r>
      <rPr>
        <sz val="11"/>
        <color theme="1"/>
        <rFont val="Calibri"/>
        <family val="2"/>
        <scheme val="minor"/>
      </rPr>
      <t xml:space="preserve"> </t>
    </r>
    <r>
      <rPr>
        <b/>
        <sz val="11"/>
        <color indexed="8"/>
        <rFont val="Calibri"/>
        <family val="2"/>
      </rPr>
      <t>Template</t>
    </r>
  </si>
  <si>
    <r>
      <t xml:space="preserve">Locate the </t>
    </r>
    <r>
      <rPr>
        <b/>
        <sz val="11"/>
        <color indexed="8"/>
        <rFont val="Calibri"/>
        <family val="2"/>
      </rPr>
      <t>IP Video</t>
    </r>
    <r>
      <rPr>
        <sz val="11"/>
        <color theme="1"/>
        <rFont val="Calibri"/>
        <family val="2"/>
        <scheme val="minor"/>
      </rPr>
      <t xml:space="preserve"> checkbox in the </t>
    </r>
    <r>
      <rPr>
        <b/>
        <sz val="11"/>
        <color indexed="8"/>
        <rFont val="Calibri"/>
        <family val="2"/>
      </rPr>
      <t>Features section</t>
    </r>
    <r>
      <rPr>
        <sz val="11"/>
        <color theme="1"/>
        <rFont val="Calibri"/>
        <family val="2"/>
        <scheme val="minor"/>
      </rPr>
      <t xml:space="preserve"> of the </t>
    </r>
    <r>
      <rPr>
        <b/>
        <sz val="11"/>
        <color indexed="8"/>
        <rFont val="Calibri"/>
        <family val="2"/>
      </rPr>
      <t>Feature Options</t>
    </r>
    <r>
      <rPr>
        <sz val="11"/>
        <color theme="1"/>
        <rFont val="Calibri"/>
        <family val="2"/>
        <scheme val="minor"/>
      </rPr>
      <t xml:space="preserve"> tab and check it.</t>
    </r>
  </si>
  <si>
    <r>
      <t xml:space="preserve">Click the </t>
    </r>
    <r>
      <rPr>
        <b/>
        <sz val="11"/>
        <color indexed="8"/>
        <rFont val="Calibri"/>
        <family val="2"/>
      </rPr>
      <t>Button Assignment</t>
    </r>
    <r>
      <rPr>
        <sz val="11"/>
        <color theme="1"/>
        <rFont val="Calibri"/>
        <family val="2"/>
        <scheme val="minor"/>
      </rPr>
      <t xml:space="preserve"> tab</t>
    </r>
  </si>
  <si>
    <t>Button Assignment (tab)</t>
  </si>
  <si>
    <t>(click the Button Assignment tab)</t>
  </si>
  <si>
    <t>Main Buttons</t>
  </si>
  <si>
    <t>(Yellow Status triangle)</t>
  </si>
  <si>
    <t>User created successfully (status message)</t>
  </si>
  <si>
    <t>Click the checkbox for the user that you just created</t>
  </si>
  <si>
    <t>(checkbox)</t>
  </si>
  <si>
    <t>(click the checkbox)</t>
  </si>
  <si>
    <r>
      <t xml:space="preserve">Click the </t>
    </r>
    <r>
      <rPr>
        <b/>
        <sz val="11"/>
        <color indexed="8"/>
        <rFont val="Calibri"/>
        <family val="2"/>
      </rPr>
      <t>Communication Profile</t>
    </r>
    <r>
      <rPr>
        <sz val="11"/>
        <color theme="1"/>
        <rFont val="Calibri"/>
        <family val="2"/>
        <scheme val="minor"/>
      </rPr>
      <t xml:space="preserve"> tab</t>
    </r>
  </si>
  <si>
    <t>Communication Profile (tab)</t>
  </si>
  <si>
    <r>
      <t xml:space="preserve">Click the right-arrow icon next to </t>
    </r>
    <r>
      <rPr>
        <b/>
        <sz val="11"/>
        <color indexed="8"/>
        <rFont val="Calibri"/>
        <family val="2"/>
      </rPr>
      <t>Endpoint Profile</t>
    </r>
    <r>
      <rPr>
        <sz val="11"/>
        <color theme="1"/>
        <rFont val="Calibri"/>
        <family val="2"/>
        <scheme val="minor"/>
      </rPr>
      <t xml:space="preserve"> to open the sub-section</t>
    </r>
  </si>
  <si>
    <t>Endpint Profile (right-arrow icon)</t>
  </si>
  <si>
    <t>(click the right-arrow icon)</t>
  </si>
  <si>
    <r>
      <t xml:space="preserve">Click the </t>
    </r>
    <r>
      <rPr>
        <b/>
        <sz val="11"/>
        <color indexed="8"/>
        <rFont val="Calibri"/>
        <family val="2"/>
      </rPr>
      <t>Endpoint Editor</t>
    </r>
    <r>
      <rPr>
        <sz val="11"/>
        <color theme="1"/>
        <rFont val="Calibri"/>
        <family val="2"/>
        <scheme val="minor"/>
      </rPr>
      <t xml:space="preserve"> button</t>
    </r>
  </si>
  <si>
    <r>
      <t xml:space="preserve">At the top right of the page, click the </t>
    </r>
    <r>
      <rPr>
        <b/>
        <sz val="11"/>
        <color indexed="8"/>
        <rFont val="Calibri"/>
        <family val="2"/>
      </rPr>
      <t>Save As Template</t>
    </r>
    <r>
      <rPr>
        <sz val="11"/>
        <color theme="1"/>
        <rFont val="Calibri"/>
        <family val="2"/>
        <scheme val="minor"/>
      </rPr>
      <t xml:space="preserve"> link</t>
    </r>
  </si>
  <si>
    <t>Save As Template (link)</t>
  </si>
  <si>
    <t>Enter the appropriate endpoint name for this new template</t>
  </si>
  <si>
    <t>Template Name</t>
  </si>
  <si>
    <t>Select the appropriate Template Name for this endpoint:
AVCS 1010 = AVCS_1010
AVCS 1020 = AVCS_1010
AVCS 1030 = AVCS_1010
AVCS 1040 = AVCS_1040
AVCS 1050 = AVCS_1050</t>
  </si>
  <si>
    <t>Note: The 1040 and 1050 differ from the 1010, 1020, and 1030, in that they need more than one button call appearance.  The 1040 needs 3 and the 1050 needs 4, so each of those endpoint types is assigned its own endpoint template.</t>
  </si>
  <si>
    <r>
      <t xml:space="preserve">Click the </t>
    </r>
    <r>
      <rPr>
        <b/>
        <sz val="11"/>
        <color indexed="8"/>
        <rFont val="Calibri"/>
        <family val="2"/>
      </rPr>
      <t>Save</t>
    </r>
    <r>
      <rPr>
        <sz val="11"/>
        <color theme="1"/>
        <rFont val="Calibri"/>
        <family val="2"/>
        <scheme val="minor"/>
      </rPr>
      <t xml:space="preserve"> button</t>
    </r>
  </si>
  <si>
    <t>Verify Default Search List</t>
  </si>
  <si>
    <t>Default Search List</t>
  </si>
  <si>
    <t>Enter Hostname for Communication Manager VM</t>
  </si>
  <si>
    <t>Enter Hostname for Utility Server  VM</t>
  </si>
  <si>
    <t>Enter Hostname for Session Manager VM</t>
  </si>
  <si>
    <t>SM IP Address</t>
  </si>
  <si>
    <t>SM Hostname</t>
  </si>
  <si>
    <t>Enter IP Address for SM SIP Entity</t>
  </si>
  <si>
    <t>SM SIP Entity IP</t>
  </si>
  <si>
    <t>Enter Default Domain</t>
  </si>
  <si>
    <r>
      <t xml:space="preserve">Click the </t>
    </r>
    <r>
      <rPr>
        <b/>
        <sz val="11"/>
        <color indexed="8"/>
        <rFont val="Calibri"/>
        <family val="2"/>
      </rPr>
      <t>Apply to all VMs</t>
    </r>
    <r>
      <rPr>
        <sz val="11"/>
        <color theme="1"/>
        <rFont val="Calibri"/>
        <family val="2"/>
        <scheme val="minor"/>
      </rPr>
      <t xml:space="preserve"> button at  bottom right of the form</t>
    </r>
  </si>
  <si>
    <t>Apply to all VMs (button)</t>
  </si>
  <si>
    <t>Note that the Default Domain is copied automatically into all the Domain boxes for the  Virtual Machines.</t>
  </si>
  <si>
    <t>System Manager VM Hostname</t>
  </si>
  <si>
    <t>Enter SMGRUser password for CM login</t>
  </si>
  <si>
    <t>Retype SMGRUser password for CM login</t>
  </si>
  <si>
    <t>SMGRUser Login Password for CM</t>
  </si>
  <si>
    <t>On Session Manager form, retype the enrollment  password</t>
  </si>
  <si>
    <t>Re-type password:</t>
  </si>
  <si>
    <t>Enter SIP Domain</t>
  </si>
  <si>
    <t>SIP Domain:</t>
  </si>
  <si>
    <t>Select Timezone on Configure System Manager page</t>
  </si>
  <si>
    <t>Select Location on Configure System Manager page</t>
  </si>
  <si>
    <t>Location</t>
  </si>
  <si>
    <t>File Name</t>
  </si>
  <si>
    <t>OK (button)</t>
  </si>
  <si>
    <t>(navigational menu)</t>
  </si>
  <si>
    <r>
      <t xml:space="preserve">Navigate to </t>
    </r>
    <r>
      <rPr>
        <b/>
        <sz val="11"/>
        <color indexed="8"/>
        <rFont val="Calibri"/>
        <family val="2"/>
      </rPr>
      <t>Server Management -&gt; Patch Management -&gt; Download/Upload</t>
    </r>
  </si>
  <si>
    <t>Server Management -&gt; Patch Management -&gt; Download/Upload</t>
  </si>
  <si>
    <t>Choose Media: (menu)</t>
  </si>
  <si>
    <r>
      <t xml:space="preserve">Select </t>
    </r>
    <r>
      <rPr>
        <b/>
        <sz val="11"/>
        <color indexed="8"/>
        <rFont val="Calibri"/>
        <family val="2"/>
      </rPr>
      <t>Local File System</t>
    </r>
    <r>
      <rPr>
        <sz val="11"/>
        <color theme="1"/>
        <rFont val="Calibri"/>
        <family val="2"/>
        <scheme val="minor"/>
      </rPr>
      <t xml:space="preserve"> in the </t>
    </r>
    <r>
      <rPr>
        <b/>
        <sz val="11"/>
        <color indexed="8"/>
        <rFont val="Calibri"/>
        <family val="2"/>
      </rPr>
      <t>Choose Media:</t>
    </r>
    <r>
      <rPr>
        <sz val="11"/>
        <color theme="1"/>
        <rFont val="Calibri"/>
        <family val="2"/>
        <scheme val="minor"/>
      </rPr>
      <t xml:space="preserve"> menu</t>
    </r>
  </si>
  <si>
    <r>
      <t xml:space="preserve">Click the </t>
    </r>
    <r>
      <rPr>
        <b/>
        <sz val="11"/>
        <color indexed="8"/>
        <rFont val="Calibri"/>
        <family val="2"/>
      </rPr>
      <t xml:space="preserve">Add… </t>
    </r>
    <r>
      <rPr>
        <sz val="11"/>
        <color theme="1"/>
        <rFont val="Calibri"/>
        <family val="2"/>
        <scheme val="minor"/>
      </rPr>
      <t>button</t>
    </r>
  </si>
  <si>
    <r>
      <t xml:space="preserve">Locate the file on your PC using the Windows file dialogue box, and click </t>
    </r>
    <r>
      <rPr>
        <b/>
        <sz val="11"/>
        <color indexed="8"/>
        <rFont val="Calibri"/>
        <family val="2"/>
      </rPr>
      <t>Open</t>
    </r>
  </si>
  <si>
    <r>
      <t xml:space="preserve">Click the </t>
    </r>
    <r>
      <rPr>
        <b/>
        <sz val="11"/>
        <color indexed="8"/>
        <rFont val="Calibri"/>
        <family val="2"/>
      </rPr>
      <t xml:space="preserve">Install </t>
    </r>
    <r>
      <rPr>
        <sz val="11"/>
        <color theme="1"/>
        <rFont val="Calibri"/>
        <family val="2"/>
        <scheme val="minor"/>
      </rPr>
      <t>button</t>
    </r>
  </si>
  <si>
    <r>
      <t xml:space="preserve">Click </t>
    </r>
    <r>
      <rPr>
        <b/>
        <sz val="11"/>
        <color indexed="8"/>
        <rFont val="Calibri"/>
        <family val="2"/>
      </rPr>
      <t>OK</t>
    </r>
    <r>
      <rPr>
        <sz val="11"/>
        <color theme="1"/>
        <rFont val="Calibri"/>
        <family val="2"/>
        <scheme val="minor"/>
      </rPr>
      <t xml:space="preserve"> in the reboot warning dialog box</t>
    </r>
  </si>
  <si>
    <t>Confirm that the patch successfully installs</t>
  </si>
  <si>
    <t>(completion status line)</t>
  </si>
  <si>
    <t>Import (button)</t>
  </si>
  <si>
    <r>
      <t xml:space="preserve">In your SMGR browser session, click on the </t>
    </r>
    <r>
      <rPr>
        <b/>
        <sz val="11"/>
        <rFont val="Calibri"/>
        <family val="2"/>
      </rPr>
      <t>Home</t>
    </r>
    <r>
      <rPr>
        <sz val="11"/>
        <rFont val="Calibri"/>
        <family val="2"/>
      </rPr>
      <t xml:space="preserve"> tab at the top right corner of the form</t>
    </r>
  </si>
  <si>
    <t>Step: Retrieve license file(s) from PLDS</t>
  </si>
  <si>
    <t>Step: Install Authentication File on System Platform</t>
  </si>
  <si>
    <t>Browse to http://plds.avaya.com</t>
  </si>
  <si>
    <t>Download the licenses to your PC.</t>
  </si>
  <si>
    <t>Login using admin login</t>
  </si>
  <si>
    <r>
      <t xml:space="preserve">Click the </t>
    </r>
    <r>
      <rPr>
        <b/>
        <sz val="11"/>
        <color indexed="8"/>
        <rFont val="Calibri"/>
        <family val="2"/>
      </rPr>
      <t>Licenses</t>
    </r>
    <r>
      <rPr>
        <sz val="11"/>
        <color theme="1"/>
        <rFont val="Calibri"/>
        <family val="2"/>
        <scheme val="minor"/>
      </rPr>
      <t xml:space="preserve"> link under the </t>
    </r>
    <r>
      <rPr>
        <b/>
        <sz val="11"/>
        <color indexed="8"/>
        <rFont val="Calibri"/>
        <family val="2"/>
      </rPr>
      <t>Services</t>
    </r>
    <r>
      <rPr>
        <sz val="11"/>
        <color theme="1"/>
        <rFont val="Calibri"/>
        <family val="2"/>
        <scheme val="minor"/>
      </rPr>
      <t xml:space="preserve"> column</t>
    </r>
  </si>
  <si>
    <t>Licenses</t>
  </si>
  <si>
    <r>
      <t xml:space="preserve">Click the </t>
    </r>
    <r>
      <rPr>
        <b/>
        <sz val="11"/>
        <color indexed="8"/>
        <rFont val="Calibri"/>
        <family val="2"/>
      </rPr>
      <t>Install License</t>
    </r>
    <r>
      <rPr>
        <sz val="11"/>
        <color theme="1"/>
        <rFont val="Calibri"/>
        <family val="2"/>
        <scheme val="minor"/>
      </rPr>
      <t xml:space="preserve"> menu item</t>
    </r>
  </si>
  <si>
    <t>Install License</t>
  </si>
  <si>
    <t>(click the item)</t>
  </si>
  <si>
    <r>
      <t xml:space="preserve">Click the </t>
    </r>
    <r>
      <rPr>
        <b/>
        <sz val="11"/>
        <color indexed="8"/>
        <rFont val="Calibri"/>
        <family val="2"/>
      </rPr>
      <t>Browse</t>
    </r>
    <r>
      <rPr>
        <sz val="11"/>
        <color theme="1"/>
        <rFont val="Calibri"/>
        <family val="2"/>
        <scheme val="minor"/>
      </rPr>
      <t xml:space="preserve"> button next to the </t>
    </r>
    <r>
      <rPr>
        <b/>
        <sz val="11"/>
        <color indexed="8"/>
        <rFont val="Calibri"/>
        <family val="2"/>
      </rPr>
      <t>Enter License Path:</t>
    </r>
    <r>
      <rPr>
        <sz val="11"/>
        <color theme="1"/>
        <rFont val="Calibri"/>
        <family val="2"/>
        <scheme val="minor"/>
      </rPr>
      <t xml:space="preserve"> box, and locate the PLDS license file on your PC.</t>
    </r>
  </si>
  <si>
    <t>Enter License Path:</t>
  </si>
  <si>
    <t>license filename</t>
  </si>
  <si>
    <t>http://plds.avaya.com</t>
  </si>
  <si>
    <t>Provide login credentials when prompted</t>
  </si>
  <si>
    <t>Change Main Buttons to "call-appr" or to "Select", to configure the  number of call appearances to 3</t>
  </si>
  <si>
    <t>Change Main Buttons to "call-appr" or to "Select", to configure the number of call appearances to 5</t>
  </si>
  <si>
    <r>
      <t xml:space="preserve">Note: These steps create a template for this particular endpoint type.  Perform these steps </t>
    </r>
    <r>
      <rPr>
        <b/>
        <u/>
        <sz val="11"/>
        <color indexed="10"/>
        <rFont val="Calibri"/>
        <family val="2"/>
      </rPr>
      <t>only</t>
    </r>
    <r>
      <rPr>
        <b/>
        <sz val="11"/>
        <color indexed="10"/>
        <rFont val="Calibri"/>
        <family val="2"/>
      </rPr>
      <t xml:space="preserve"> for the first endpoint of this type that you create.</t>
    </r>
  </si>
  <si>
    <r>
      <t xml:space="preserve">Select the appropriate Template Name for this endpoint: </t>
    </r>
    <r>
      <rPr>
        <b/>
        <sz val="11"/>
        <color indexed="8"/>
        <rFont val="Calibri"/>
        <family val="2"/>
      </rPr>
      <t>1XC</t>
    </r>
  </si>
  <si>
    <t xml:space="preserve">root Password Confirm </t>
  </si>
  <si>
    <t xml:space="preserve">admin Password </t>
  </si>
  <si>
    <t xml:space="preserve">admin Password Confirm </t>
  </si>
  <si>
    <t xml:space="preserve">cust Password </t>
  </si>
  <si>
    <t xml:space="preserve">cust Password Confirm </t>
  </si>
  <si>
    <t xml:space="preserve">LDAP Password </t>
  </si>
  <si>
    <t xml:space="preserve">LDAP Password Confirm </t>
  </si>
  <si>
    <t>Secondary DNS Server IP Address (optional)</t>
  </si>
  <si>
    <t>root account password</t>
  </si>
  <si>
    <t>Media-Gateway IP address</t>
  </si>
  <si>
    <t xml:space="preserve">Login </t>
  </si>
  <si>
    <t>admin123</t>
  </si>
  <si>
    <r>
      <t xml:space="preserve">Navigate to </t>
    </r>
    <r>
      <rPr>
        <b/>
        <sz val="11"/>
        <color indexed="8"/>
        <rFont val="Calibri"/>
        <family val="2"/>
      </rPr>
      <t>Users -&gt; User Management</t>
    </r>
  </si>
  <si>
    <r>
      <t xml:space="preserve">Click on the </t>
    </r>
    <r>
      <rPr>
        <b/>
        <sz val="11"/>
        <color indexed="8"/>
        <rFont val="Calibri"/>
        <family val="2"/>
      </rPr>
      <t>Home</t>
    </r>
    <r>
      <rPr>
        <sz val="11"/>
        <color theme="1"/>
        <rFont val="Calibri"/>
        <family val="2"/>
        <scheme val="minor"/>
      </rPr>
      <t xml:space="preserve"> tab at the top right corner of the form</t>
    </r>
  </si>
  <si>
    <t>Required Information for ME Template Installation</t>
  </si>
  <si>
    <t>IP address for AES</t>
  </si>
  <si>
    <t>AES VM Hostname</t>
  </si>
  <si>
    <t>SIP Domain (is often different than ME server domain)</t>
  </si>
  <si>
    <t>Location Name for ME Server</t>
  </si>
  <si>
    <t>Server Domain Name (domain portion of dom0 FQDN)</t>
  </si>
  <si>
    <t>sip.avaya.com</t>
  </si>
  <si>
    <t>Enter Hostname for Presence Server VM</t>
  </si>
  <si>
    <t>Enter IP Address for Presence Server VM</t>
  </si>
  <si>
    <t xml:space="preserve">Enter IP Address for AES </t>
  </si>
  <si>
    <t>AES IP Address</t>
  </si>
  <si>
    <t>AES Hostname</t>
  </si>
  <si>
    <t>Enter Hostname for AES</t>
  </si>
  <si>
    <t>Presence Server VM Hostname</t>
  </si>
  <si>
    <t>IP Address for Presence Server VM</t>
  </si>
  <si>
    <t>Select Country drop-down menu</t>
  </si>
  <si>
    <r>
      <t xml:space="preserve">The following entries will normally show </t>
    </r>
    <r>
      <rPr>
        <b/>
        <sz val="11"/>
        <color indexed="10"/>
        <rFont val="Calibri"/>
        <family val="2"/>
      </rPr>
      <t>Not set</t>
    </r>
    <r>
      <rPr>
        <sz val="11"/>
        <color theme="1"/>
        <rFont val="Calibri"/>
        <family val="2"/>
        <scheme val="minor"/>
      </rPr>
      <t xml:space="preserve">  in red font: 
</t>
    </r>
    <r>
      <rPr>
        <b/>
        <sz val="11"/>
        <rFont val="Calibri"/>
        <family val="2"/>
      </rPr>
      <t>HTTPS Proxy
Cabinets
ABIT.txt file
ISDN Trunks
Incoming Call Handling Treatment
Public Unknown Numbering Table</t>
    </r>
    <r>
      <rPr>
        <sz val="11"/>
        <color theme="1"/>
        <rFont val="Calibri"/>
        <family val="2"/>
        <scheme val="minor"/>
      </rPr>
      <t xml:space="preserve">
</t>
    </r>
    <r>
      <rPr>
        <b/>
        <sz val="11"/>
        <color indexed="8"/>
        <rFont val="Calibri"/>
        <family val="2"/>
      </rPr>
      <t>AES root Password
AES root Password (re-type)</t>
    </r>
  </si>
  <si>
    <t>Step: Install System Platform on server</t>
  </si>
  <si>
    <t>Step: Install ME Template</t>
  </si>
  <si>
    <t>Step: Check Communication Manager is sync'd</t>
  </si>
  <si>
    <t>Step: Install license file(s) on the System Manager WebLM Server</t>
  </si>
  <si>
    <r>
      <t xml:space="preserve">Click the </t>
    </r>
    <r>
      <rPr>
        <b/>
        <sz val="11"/>
        <color indexed="8"/>
        <rFont val="Calibri"/>
        <family val="2"/>
      </rPr>
      <t>Change Password</t>
    </r>
    <r>
      <rPr>
        <sz val="11"/>
        <color theme="1"/>
        <rFont val="Calibri"/>
        <family val="2"/>
        <scheme val="minor"/>
      </rPr>
      <t xml:space="preserve"> link (on the right of the screen)</t>
    </r>
  </si>
  <si>
    <t>Avaya recommends this password is set to a customer selected password. Avaya123! Is given as an example</t>
  </si>
  <si>
    <t>Note: System Manager caches some values, it can take several minutes for the display to indicate the system state</t>
  </si>
  <si>
    <t>Confirm that SM tests are passing (Note: it can take several minutes for the display to indicate that tests are all passing.  Click the  "refresh" link at the top of the table every 30 secs and check that the tests pass  )</t>
  </si>
  <si>
    <t>It can also take a while for the dashboard service status indication to update.  Be patient and refresh the page via the "refresh" link</t>
  </si>
  <si>
    <t>(or customer SMGR password if that was used)</t>
  </si>
  <si>
    <t>Host name:</t>
  </si>
  <si>
    <t>Enter your credentials for SCP access to do the file transfer</t>
  </si>
  <si>
    <t>Login ID:/Password:</t>
  </si>
  <si>
    <t>Select /tmp as the destination location for the file transfer</t>
  </si>
  <si>
    <t>Browse to /tmp in the WinSCP destination machine window</t>
  </si>
  <si>
    <t>/tmp</t>
  </si>
  <si>
    <r>
      <t xml:space="preserve">Click WinSCP </t>
    </r>
    <r>
      <rPr>
        <b/>
        <sz val="11"/>
        <color indexed="8"/>
        <rFont val="Calibri"/>
        <family val="2"/>
      </rPr>
      <t>Copy</t>
    </r>
    <r>
      <rPr>
        <sz val="11"/>
        <color theme="1"/>
        <rFont val="Calibri"/>
        <family val="2"/>
        <scheme val="minor"/>
      </rPr>
      <t xml:space="preserve"> button to initiate the file transfer.  </t>
    </r>
  </si>
  <si>
    <t>Copy (button)</t>
  </si>
  <si>
    <t>(click Copy button on WinSCP interface)</t>
  </si>
  <si>
    <t>Host Name</t>
  </si>
  <si>
    <t>Command Prompt</t>
  </si>
  <si>
    <t>Change directory to /tmp</t>
  </si>
  <si>
    <t>cd /tmp</t>
  </si>
  <si>
    <t>Use browser to access CDOM</t>
  </si>
  <si>
    <r>
      <t xml:space="preserve">Navigate to </t>
    </r>
    <r>
      <rPr>
        <b/>
        <sz val="11"/>
        <color indexed="8"/>
        <rFont val="Calibri"/>
        <family val="2"/>
      </rPr>
      <t>Virtual Machine Management -&gt; Manage</t>
    </r>
  </si>
  <si>
    <t>(navigation pane)</t>
  </si>
  <si>
    <t>Manage</t>
  </si>
  <si>
    <r>
      <t xml:space="preserve">Click the </t>
    </r>
    <r>
      <rPr>
        <b/>
        <sz val="11"/>
        <color indexed="8"/>
        <rFont val="Calibri"/>
        <family val="2"/>
      </rPr>
      <t>presence_va</t>
    </r>
    <r>
      <rPr>
        <sz val="11"/>
        <color theme="1"/>
        <rFont val="Calibri"/>
        <family val="2"/>
        <scheme val="minor"/>
      </rPr>
      <t xml:space="preserve"> link in the Name column</t>
    </r>
  </si>
  <si>
    <t>(click the presence_va link)</t>
  </si>
  <si>
    <r>
      <t xml:space="preserve">Click the </t>
    </r>
    <r>
      <rPr>
        <b/>
        <sz val="11"/>
        <rFont val="Calibri"/>
        <family val="2"/>
      </rPr>
      <t>Reboot</t>
    </r>
    <r>
      <rPr>
        <sz val="11"/>
        <rFont val="Calibri"/>
        <family val="2"/>
      </rPr>
      <t xml:space="preserve"> button</t>
    </r>
  </si>
  <si>
    <t>Reboot (button)</t>
  </si>
  <si>
    <t>(click the Reboot button)</t>
  </si>
  <si>
    <r>
      <t xml:space="preserve">Confirm the Reboot request by clicking </t>
    </r>
    <r>
      <rPr>
        <b/>
        <sz val="11"/>
        <rFont val="Calibri"/>
        <family val="2"/>
      </rPr>
      <t>OK</t>
    </r>
    <r>
      <rPr>
        <sz val="11"/>
        <rFont val="Calibri"/>
        <family val="2"/>
      </rPr>
      <t xml:space="preserve"> in the warning dialogue box</t>
    </r>
  </si>
  <si>
    <t>(click the OK button)</t>
  </si>
  <si>
    <t>State:</t>
  </si>
  <si>
    <t>Running (green checkmark)</t>
  </si>
  <si>
    <t xml:space="preserve">Media-Gateway subnet mask </t>
  </si>
  <si>
    <t xml:space="preserve">Media-Gateway default IP gateway </t>
  </si>
  <si>
    <t>255.255.255.128</t>
  </si>
  <si>
    <t>Required Information for Media Gateway</t>
  </si>
  <si>
    <r>
      <t xml:space="preserve">Navigate to </t>
    </r>
    <r>
      <rPr>
        <b/>
        <sz val="11"/>
        <color indexed="8"/>
        <rFont val="Calibri"/>
        <family val="2"/>
      </rPr>
      <t>Inventory-&gt;Synchronization-&gt;Communication System</t>
    </r>
    <r>
      <rPr>
        <sz val="11"/>
        <color theme="1"/>
        <rFont val="Calibri"/>
        <family val="2"/>
        <scheme val="minor"/>
      </rPr>
      <t xml:space="preserve"> </t>
    </r>
  </si>
  <si>
    <t>Confirm Sync is Completed</t>
  </si>
  <si>
    <t>Completed</t>
  </si>
  <si>
    <t>Step: Import Users.xml file</t>
  </si>
  <si>
    <r>
      <t xml:space="preserve">Navigate to </t>
    </r>
    <r>
      <rPr>
        <b/>
        <sz val="11"/>
        <color indexed="8"/>
        <rFont val="Calibri"/>
        <family val="2"/>
      </rPr>
      <t>User Management -&gt; Manage Users</t>
    </r>
  </si>
  <si>
    <r>
      <t xml:space="preserve">Under the </t>
    </r>
    <r>
      <rPr>
        <b/>
        <sz val="11"/>
        <color indexed="8"/>
        <rFont val="Calibri"/>
        <family val="2"/>
      </rPr>
      <t>More Actions</t>
    </r>
    <r>
      <rPr>
        <sz val="11"/>
        <color theme="1"/>
        <rFont val="Calibri"/>
        <family val="2"/>
        <scheme val="minor"/>
      </rPr>
      <t xml:space="preserve"> button select </t>
    </r>
    <r>
      <rPr>
        <b/>
        <sz val="11"/>
        <color indexed="8"/>
        <rFont val="Calibri"/>
        <family val="2"/>
      </rPr>
      <t>Import Users</t>
    </r>
  </si>
  <si>
    <r>
      <t xml:space="preserve">Next to the </t>
    </r>
    <r>
      <rPr>
        <b/>
        <sz val="11"/>
        <color indexed="8"/>
        <rFont val="Calibri"/>
        <family val="2"/>
      </rPr>
      <t>Select File</t>
    </r>
    <r>
      <rPr>
        <sz val="11"/>
        <color theme="1"/>
        <rFont val="Calibri"/>
        <family val="2"/>
        <scheme val="minor"/>
      </rPr>
      <t xml:space="preserve"> box press the </t>
    </r>
    <r>
      <rPr>
        <b/>
        <sz val="11"/>
        <color indexed="8"/>
        <rFont val="Calibri"/>
        <family val="2"/>
      </rPr>
      <t>Browse</t>
    </r>
    <r>
      <rPr>
        <sz val="11"/>
        <color theme="1"/>
        <rFont val="Calibri"/>
        <family val="2"/>
        <scheme val="minor"/>
      </rPr>
      <t xml:space="preserve"> button </t>
    </r>
  </si>
  <si>
    <r>
      <t xml:space="preserve">Scroll down and press </t>
    </r>
    <r>
      <rPr>
        <b/>
        <sz val="11"/>
        <color indexed="8"/>
        <rFont val="Calibri"/>
        <family val="2"/>
      </rPr>
      <t>Import</t>
    </r>
  </si>
  <si>
    <r>
      <t>Confirm Count</t>
    </r>
    <r>
      <rPr>
        <b/>
        <sz val="11"/>
        <color indexed="8"/>
        <rFont val="Calibri"/>
        <family val="2"/>
      </rPr>
      <t xml:space="preserve"> </t>
    </r>
    <r>
      <rPr>
        <sz val="11"/>
        <color theme="1"/>
        <rFont val="Calibri"/>
        <family val="2"/>
        <scheme val="minor"/>
      </rPr>
      <t>and Success values are equal and all stations added correctly</t>
    </r>
  </si>
  <si>
    <r>
      <t xml:space="preserve">Click </t>
    </r>
    <r>
      <rPr>
        <b/>
        <sz val="11"/>
        <color indexed="8"/>
        <rFont val="Calibri"/>
        <family val="2"/>
      </rPr>
      <t>Done</t>
    </r>
  </si>
  <si>
    <r>
      <t xml:space="preserve">Click </t>
    </r>
    <r>
      <rPr>
        <b/>
        <sz val="11"/>
        <color indexed="8"/>
        <rFont val="Calibri"/>
        <family val="2"/>
      </rPr>
      <t>Done</t>
    </r>
    <r>
      <rPr>
        <sz val="11"/>
        <color theme="1"/>
        <rFont val="Calibri"/>
        <family val="2"/>
        <scheme val="minor"/>
      </rPr>
      <t xml:space="preserve"> on the Import Users page</t>
    </r>
  </si>
  <si>
    <t>Note: This step is very important!  If you do not save translations after configuring a user endpoint and the ME server restarts, CM translations are lost, and cannot be easily refreshed from SMGR's data.  You will have to manually enter all the station information into CM to recover.  If you are configuring multiple users, you can wait until the configuration is done to perform the save translation step for all of them, but do not forget to do it!</t>
  </si>
  <si>
    <r>
      <t xml:space="preserve">Click checkbox next to </t>
    </r>
    <r>
      <rPr>
        <b/>
        <sz val="11"/>
        <color indexed="8"/>
        <rFont val="Calibri"/>
        <family val="2"/>
      </rPr>
      <t>Messaging</t>
    </r>
    <r>
      <rPr>
        <b/>
        <sz val="11"/>
        <color indexed="8"/>
        <rFont val="Calibri"/>
        <family val="2"/>
      </rPr>
      <t xml:space="preserve"> Profile</t>
    </r>
    <r>
      <rPr>
        <sz val="11"/>
        <color theme="1"/>
        <rFont val="Calibri"/>
        <family val="2"/>
        <scheme val="minor"/>
      </rPr>
      <t xml:space="preserve"> to open sub-section</t>
    </r>
  </si>
  <si>
    <t>Messaging Profile</t>
  </si>
  <si>
    <t>(click Messaging Profile checkbox)</t>
  </si>
  <si>
    <t>Voicemail Number</t>
  </si>
  <si>
    <t>Select the right voicemail number based on your dial plan length</t>
  </si>
  <si>
    <t>Messaging</t>
  </si>
  <si>
    <r>
      <t xml:space="preserve">From </t>
    </r>
    <r>
      <rPr>
        <b/>
        <sz val="11"/>
        <color indexed="8"/>
        <rFont val="Calibri"/>
        <family val="2"/>
      </rPr>
      <t>System</t>
    </r>
    <r>
      <rPr>
        <sz val="11"/>
        <color theme="1"/>
        <rFont val="Calibri"/>
        <family val="2"/>
        <scheme val="minor"/>
      </rPr>
      <t xml:space="preserve"> drop down select Messaging </t>
    </r>
  </si>
  <si>
    <r>
      <t xml:space="preserve">Enter </t>
    </r>
    <r>
      <rPr>
        <b/>
        <sz val="11"/>
        <color indexed="8"/>
        <rFont val="Calibri"/>
        <family val="2"/>
      </rPr>
      <t xml:space="preserve">Mailbox Number </t>
    </r>
  </si>
  <si>
    <t xml:space="preserve">Mailbox Number </t>
  </si>
  <si>
    <t>5350006</t>
  </si>
  <si>
    <r>
      <t>From</t>
    </r>
    <r>
      <rPr>
        <b/>
        <sz val="11"/>
        <color indexed="8"/>
        <rFont val="Calibri"/>
        <family val="2"/>
      </rPr>
      <t xml:space="preserve"> Template</t>
    </r>
    <r>
      <rPr>
        <sz val="11"/>
        <color theme="1"/>
        <rFont val="Calibri"/>
        <family val="2"/>
        <scheme val="minor"/>
      </rPr>
      <t xml:space="preserve"> drop down select DEFAULT_CMM_6_0</t>
    </r>
  </si>
  <si>
    <t>DEFAULT_CMM_6_0</t>
  </si>
  <si>
    <t>Enter Mailbox Password</t>
  </si>
  <si>
    <t>1</t>
  </si>
  <si>
    <t xml:space="preserve">A value of 1 means the user is prompted to change the password when they dial into Communication Messaging </t>
  </si>
  <si>
    <t xml:space="preserve">Enter Voicemail access number </t>
  </si>
  <si>
    <t>voice mail access number depends on dial plan length - Dial Plan length 3 is 199, Dial Plan length 4 is 1999, 5 is 19999, 6 is 199999 and 7 is 1999999</t>
  </si>
  <si>
    <r>
      <t xml:space="preserve">If present click the yellow </t>
    </r>
    <r>
      <rPr>
        <b/>
        <sz val="11"/>
        <color indexed="8"/>
        <rFont val="Calibri"/>
        <family val="2"/>
      </rPr>
      <t>Status</t>
    </r>
    <r>
      <rPr>
        <sz val="11"/>
        <color theme="1"/>
        <rFont val="Calibri"/>
        <family val="2"/>
        <scheme val="minor"/>
      </rPr>
      <t xml:space="preserve"> triangle near the top of the page, and confirm that the </t>
    </r>
    <r>
      <rPr>
        <b/>
        <sz val="11"/>
        <color indexed="8"/>
        <rFont val="Calibri"/>
        <family val="2"/>
      </rPr>
      <t>User created successfully</t>
    </r>
    <r>
      <rPr>
        <sz val="11"/>
        <color theme="1"/>
        <rFont val="Calibri"/>
        <family val="2"/>
        <scheme val="minor"/>
      </rPr>
      <t xml:space="preserve"> message appears</t>
    </r>
  </si>
  <si>
    <r>
      <t xml:space="preserve">If present, click the yellow </t>
    </r>
    <r>
      <rPr>
        <b/>
        <sz val="11"/>
        <color indexed="8"/>
        <rFont val="Calibri"/>
        <family val="2"/>
      </rPr>
      <t>Status</t>
    </r>
    <r>
      <rPr>
        <sz val="11"/>
        <color theme="1"/>
        <rFont val="Calibri"/>
        <family val="2"/>
        <scheme val="minor"/>
      </rPr>
      <t xml:space="preserve"> triangle near the top of the page, and confirm that the </t>
    </r>
    <r>
      <rPr>
        <b/>
        <sz val="11"/>
        <color indexed="8"/>
        <rFont val="Calibri"/>
        <family val="2"/>
      </rPr>
      <t>User created successfully</t>
    </r>
    <r>
      <rPr>
        <sz val="11"/>
        <color theme="1"/>
        <rFont val="Calibri"/>
        <family val="2"/>
        <scheme val="minor"/>
      </rPr>
      <t xml:space="preserve"> message appears</t>
    </r>
  </si>
  <si>
    <t>Enter Gateway Serial Number (or IPSI IP address if G650)</t>
  </si>
  <si>
    <t>Step: Logon to System Manager</t>
  </si>
  <si>
    <t>Use browser to access System Manager</t>
  </si>
  <si>
    <t xml:space="preserve">You may need to refresh the screen via the blue refresh link in the table until all stations have been added. </t>
  </si>
  <si>
    <t>Session Manager Hostname (NOT FQDN)</t>
  </si>
  <si>
    <t>Step: Retrieve Authentication File from RFA</t>
  </si>
  <si>
    <t>Browse to http://rfa.avaya.com</t>
  </si>
  <si>
    <t>Login with your RFA account</t>
  </si>
  <si>
    <t>http://rfa.avaya.com</t>
  </si>
  <si>
    <t>Click Start AFS application</t>
  </si>
  <si>
    <t>Start AFS Application</t>
  </si>
  <si>
    <t>I Agree</t>
  </si>
  <si>
    <t>Under Product select SP System Platform</t>
  </si>
  <si>
    <t>Under Release select 6.x</t>
  </si>
  <si>
    <t>Product</t>
  </si>
  <si>
    <t>Release</t>
  </si>
  <si>
    <t>6.x</t>
  </si>
  <si>
    <t>Next</t>
  </si>
  <si>
    <t>Check "New System - Product SP System Platform Release 6.x" is selected</t>
  </si>
  <si>
    <t>Communication Manager 6.x</t>
  </si>
  <si>
    <t xml:space="preserve">Utility Server 6.x </t>
  </si>
  <si>
    <t>Click Download file to my PC</t>
  </si>
  <si>
    <t>Click Save</t>
  </si>
  <si>
    <t>Download file to my PC</t>
  </si>
  <si>
    <t xml:space="preserve">Save file to your PC </t>
  </si>
  <si>
    <t>Step: Locate System Manager MAC address</t>
  </si>
  <si>
    <t>Browse to the System Manager VM</t>
  </si>
  <si>
    <r>
      <t xml:space="preserve">Click </t>
    </r>
    <r>
      <rPr>
        <b/>
        <sz val="11"/>
        <rFont val="Calibri"/>
        <family val="2"/>
      </rPr>
      <t>Server Properties</t>
    </r>
  </si>
  <si>
    <t>Server Properties</t>
  </si>
  <si>
    <t>Note Primary Host ID</t>
  </si>
  <si>
    <r>
      <t xml:space="preserve">Click </t>
    </r>
    <r>
      <rPr>
        <b/>
        <sz val="11"/>
        <rFont val="Calibri"/>
        <family val="2"/>
      </rPr>
      <t>I Agree</t>
    </r>
  </si>
  <si>
    <r>
      <t xml:space="preserve">Click </t>
    </r>
    <r>
      <rPr>
        <b/>
        <sz val="11"/>
        <rFont val="Calibri"/>
        <family val="2"/>
      </rPr>
      <t>Next</t>
    </r>
  </si>
  <si>
    <r>
      <t xml:space="preserve">Click </t>
    </r>
    <r>
      <rPr>
        <b/>
        <sz val="11"/>
        <rFont val="Calibri"/>
        <family val="2"/>
      </rPr>
      <t xml:space="preserve">Next </t>
    </r>
  </si>
  <si>
    <t>Generate licenses using the order number for the ME server and Primary Host ID</t>
  </si>
  <si>
    <t>Enter System Manager Login Password</t>
  </si>
  <si>
    <r>
      <t>Navigate U</t>
    </r>
    <r>
      <rPr>
        <b/>
        <sz val="11"/>
        <color indexed="8"/>
        <rFont val="Calibri"/>
        <family val="2"/>
      </rPr>
      <t>ser Management -&gt; Manage Users</t>
    </r>
  </si>
  <si>
    <t>Enter login name (extension)</t>
  </si>
  <si>
    <t>Re-enter System Manager Login Password</t>
  </si>
  <si>
    <t>Ensure you are pressing the correct New button as the screen has several</t>
  </si>
  <si>
    <r>
      <t xml:space="preserve">Select CM system from the </t>
    </r>
    <r>
      <rPr>
        <b/>
        <sz val="11"/>
        <color indexed="8"/>
        <rFont val="Calibri"/>
        <family val="2"/>
      </rPr>
      <t>System</t>
    </r>
    <r>
      <rPr>
        <sz val="11"/>
        <color theme="1"/>
        <rFont val="Calibri"/>
        <family val="2"/>
        <scheme val="minor"/>
      </rPr>
      <t xml:space="preserve"> drop-down menu </t>
    </r>
  </si>
  <si>
    <r>
      <t xml:space="preserve">The H.248 media gateway can be a G700, G250-ds1, G250-dcp, G350, G450, or G430.  If the media gateway is a ds1 or dcp G250 variant, the media-gateway type entered in the workbook must reflect that distinction, e.g., g250-ds1 or g250-dcp. </t>
    </r>
    <r>
      <rPr>
        <b/>
        <sz val="12"/>
        <rFont val="Calibri"/>
        <family val="2"/>
      </rPr>
      <t>Note:</t>
    </r>
    <r>
      <rPr>
        <sz val="12"/>
        <rFont val="Calibri"/>
        <family val="2"/>
      </rPr>
      <t xml:space="preserve"> The ds1 and dcp G250 models have 16 VoIP channels, but the G250 analog and BRI versions only have 10 VoIP channels, and 10 channels is not enough to support some conference call scenarios.</t>
    </r>
  </si>
  <si>
    <t>Patch has been successfully installed.</t>
  </si>
  <si>
    <t xml:space="preserve">Browse to Console Domain </t>
  </si>
  <si>
    <t>Browse to Console Domain</t>
  </si>
  <si>
    <r>
      <rPr>
        <b/>
        <sz val="12"/>
        <rFont val="Calibri"/>
        <family val="2"/>
      </rPr>
      <t xml:space="preserve">Feedback:  </t>
    </r>
    <r>
      <rPr>
        <sz val="12"/>
        <rFont val="Calibri"/>
        <family val="2"/>
      </rPr>
      <t xml:space="preserve">If you have an comments or suggestions for enhancements to the content of this document, please email </t>
    </r>
    <r>
      <rPr>
        <b/>
        <sz val="12"/>
        <rFont val="Calibri"/>
        <family val="2"/>
      </rPr>
      <t>infodev@avaya.com</t>
    </r>
  </si>
  <si>
    <t>mojome1-dom0.dr.avaya.com</t>
  </si>
  <si>
    <t>mojome1-cdom.dr.avaya.com</t>
  </si>
  <si>
    <t>mojome1-cm</t>
  </si>
  <si>
    <t>mojome1-utility</t>
  </si>
  <si>
    <t>mojome1-sm</t>
  </si>
  <si>
    <t>mojome1-smgr</t>
  </si>
  <si>
    <t>mojome1-aes1</t>
  </si>
  <si>
    <t>If either address replies before the server is installed and connected, an IP host is already using the IP address. Locate it and readdress it or remove it from the network before proceeding.</t>
  </si>
  <si>
    <t>Software Downloads</t>
  </si>
  <si>
    <t>System Platform Release Download Pub ID</t>
  </si>
  <si>
    <t>System Platform Release Filename</t>
  </si>
  <si>
    <t>Midsize Enterprise DVD 1-of-3 Release Download Pub ID</t>
  </si>
  <si>
    <t>Midsize Enterprise DVD 2-of-3 Release Download Pub ID</t>
  </si>
  <si>
    <t>Midsize Enterprise DVD 3-of-3 Release Download Pub ID</t>
  </si>
  <si>
    <t>135.6.1.2</t>
  </si>
  <si>
    <t>135.6.1.39</t>
  </si>
  <si>
    <t>135.6.4.61</t>
  </si>
  <si>
    <t>135.6.4.254</t>
  </si>
  <si>
    <t>135.6.4.62</t>
  </si>
  <si>
    <t>135.6.4.64</t>
  </si>
  <si>
    <t>135.6.4.69</t>
  </si>
  <si>
    <t>135.6.4.67</t>
  </si>
  <si>
    <t>135.6.4.63</t>
  </si>
  <si>
    <t>135.6.4.66</t>
  </si>
  <si>
    <t>135.6.4.68</t>
  </si>
  <si>
    <t>135.6.4.65</t>
  </si>
  <si>
    <t>mojome1-ps</t>
  </si>
  <si>
    <t>Browse to the PLDS website</t>
  </si>
  <si>
    <t>Email Address</t>
  </si>
  <si>
    <t>Login - enter username</t>
  </si>
  <si>
    <t>Enter password</t>
  </si>
  <si>
    <t>Avaya SSON Password or Partner Password</t>
  </si>
  <si>
    <t>Assets</t>
  </si>
  <si>
    <r>
      <t xml:space="preserve">Click the </t>
    </r>
    <r>
      <rPr>
        <b/>
        <sz val="11"/>
        <rFont val="Calibri"/>
        <family val="2"/>
      </rPr>
      <t>Assets</t>
    </r>
    <r>
      <rPr>
        <sz val="11"/>
        <rFont val="Calibri"/>
        <family val="2"/>
      </rPr>
      <t xml:space="preserve"> link</t>
    </r>
  </si>
  <si>
    <r>
      <t xml:space="preserve">Click on </t>
    </r>
    <r>
      <rPr>
        <b/>
        <sz val="11"/>
        <rFont val="Calibri"/>
        <family val="2"/>
      </rPr>
      <t>Assets</t>
    </r>
    <r>
      <rPr>
        <sz val="11"/>
        <rFont val="Calibri"/>
        <family val="2"/>
      </rPr>
      <t xml:space="preserve"> in the left navigational frame to open it</t>
    </r>
  </si>
  <si>
    <r>
      <t xml:space="preserve">Click on </t>
    </r>
    <r>
      <rPr>
        <b/>
        <sz val="11"/>
        <rFont val="Calibri"/>
        <family val="2"/>
      </rPr>
      <t>View Downloads</t>
    </r>
    <r>
      <rPr>
        <sz val="11"/>
        <rFont val="Calibri"/>
        <family val="2"/>
      </rPr>
      <t xml:space="preserve"> in the expanded Assets menu</t>
    </r>
  </si>
  <si>
    <t>View Downloads</t>
  </si>
  <si>
    <r>
      <t xml:space="preserve">Click the </t>
    </r>
    <r>
      <rPr>
        <b/>
        <sz val="11"/>
        <rFont val="Calibri"/>
        <family val="2"/>
      </rPr>
      <t>View Downloads</t>
    </r>
    <r>
      <rPr>
        <sz val="11"/>
        <rFont val="Calibri"/>
        <family val="2"/>
      </rPr>
      <t xml:space="preserve"> link</t>
    </r>
  </si>
  <si>
    <t>Company Name</t>
  </si>
  <si>
    <t>%Name</t>
  </si>
  <si>
    <r>
      <rPr>
        <b/>
        <sz val="11"/>
        <rFont val="Calibri"/>
        <family val="2"/>
      </rPr>
      <t>Avaya</t>
    </r>
    <r>
      <rPr>
        <sz val="11"/>
        <rFont val="Calibri"/>
        <family val="2"/>
      </rPr>
      <t xml:space="preserve"> or Partner Company Name</t>
    </r>
  </si>
  <si>
    <r>
      <t xml:space="preserve">Enter </t>
    </r>
    <r>
      <rPr>
        <b/>
        <sz val="11"/>
        <rFont val="Calibri"/>
        <family val="2"/>
      </rPr>
      <t>Avaya</t>
    </r>
    <r>
      <rPr>
        <sz val="11"/>
        <rFont val="Calibri"/>
        <family val="2"/>
      </rPr>
      <t xml:space="preserve"> or Partner company name in the %Name field</t>
    </r>
  </si>
  <si>
    <r>
      <t xml:space="preserve">Click the </t>
    </r>
    <r>
      <rPr>
        <b/>
        <sz val="11"/>
        <rFont val="Calibri"/>
        <family val="2"/>
      </rPr>
      <t>Search Companies &gt;&gt;</t>
    </r>
    <r>
      <rPr>
        <sz val="11"/>
        <rFont val="Calibri"/>
        <family val="2"/>
      </rPr>
      <t xml:space="preserve"> button</t>
    </r>
  </si>
  <si>
    <t>Search Companies &gt;&gt;</t>
  </si>
  <si>
    <r>
      <t xml:space="preserve">Click the </t>
    </r>
    <r>
      <rPr>
        <b/>
        <sz val="11"/>
        <rFont val="Calibri"/>
        <family val="2"/>
      </rPr>
      <t>Search Companies &gt;&gt;</t>
    </r>
    <r>
      <rPr>
        <sz val="11"/>
        <rFont val="Calibri"/>
        <family val="2"/>
      </rPr>
      <t xml:space="preserve"> button</t>
    </r>
  </si>
  <si>
    <r>
      <t xml:space="preserve">Locate the correct entry and click the </t>
    </r>
    <r>
      <rPr>
        <b/>
        <sz val="11"/>
        <rFont val="Calibri"/>
        <family val="2"/>
      </rPr>
      <t>Select</t>
    </r>
    <r>
      <rPr>
        <sz val="11"/>
        <rFont val="Calibri"/>
        <family val="2"/>
      </rPr>
      <t xml:space="preserve"> link</t>
    </r>
  </si>
  <si>
    <t>Select</t>
  </si>
  <si>
    <r>
      <t xml:space="preserve">Click the </t>
    </r>
    <r>
      <rPr>
        <b/>
        <sz val="11"/>
        <rFont val="Calibri"/>
        <family val="2"/>
      </rPr>
      <t xml:space="preserve">Select </t>
    </r>
    <r>
      <rPr>
        <sz val="11"/>
        <rFont val="Calibri"/>
        <family val="2"/>
      </rPr>
      <t>link</t>
    </r>
  </si>
  <si>
    <t>Download pub ID:</t>
  </si>
  <si>
    <r>
      <t xml:space="preserve">Click the </t>
    </r>
    <r>
      <rPr>
        <b/>
        <sz val="11"/>
        <rFont val="Calibri"/>
        <family val="2"/>
      </rPr>
      <t>Search Downloads</t>
    </r>
    <r>
      <rPr>
        <sz val="11"/>
        <rFont val="Calibri"/>
        <family val="2"/>
      </rPr>
      <t xml:space="preserve"> button</t>
    </r>
  </si>
  <si>
    <t>Search Downloads</t>
  </si>
  <si>
    <r>
      <t xml:space="preserve">Click the </t>
    </r>
    <r>
      <rPr>
        <b/>
        <sz val="11"/>
        <rFont val="Calibri"/>
        <family val="2"/>
      </rPr>
      <t>Search Downloads</t>
    </r>
    <r>
      <rPr>
        <sz val="11"/>
        <rFont val="Calibri"/>
        <family val="2"/>
      </rPr>
      <t xml:space="preserve"> button</t>
    </r>
  </si>
  <si>
    <t>Avaya Global Handle or Partner email address</t>
  </si>
  <si>
    <r>
      <t xml:space="preserve">Scroll down to the entry for the download file, and click the </t>
    </r>
    <r>
      <rPr>
        <b/>
        <sz val="11"/>
        <rFont val="Calibri"/>
        <family val="2"/>
      </rPr>
      <t>Download</t>
    </r>
    <r>
      <rPr>
        <sz val="11"/>
        <rFont val="Calibri"/>
        <family val="2"/>
      </rPr>
      <t xml:space="preserve"> link</t>
    </r>
  </si>
  <si>
    <t>Download (link)</t>
  </si>
  <si>
    <r>
      <t xml:space="preserve">Click the </t>
    </r>
    <r>
      <rPr>
        <b/>
        <sz val="11"/>
        <rFont val="Calibri"/>
        <family val="2"/>
      </rPr>
      <t>Download</t>
    </r>
    <r>
      <rPr>
        <sz val="11"/>
        <rFont val="Calibri"/>
        <family val="2"/>
      </rPr>
      <t xml:space="preserve"> link</t>
    </r>
  </si>
  <si>
    <r>
      <rPr>
        <b/>
        <u/>
        <sz val="11"/>
        <color indexed="8"/>
        <rFont val="Calibri"/>
        <family val="2"/>
      </rPr>
      <t>Click to download your file now</t>
    </r>
    <r>
      <rPr>
        <sz val="11"/>
        <color theme="1"/>
        <rFont val="Calibri"/>
        <family val="2"/>
        <scheme val="minor"/>
      </rPr>
      <t xml:space="preserve"> or </t>
    </r>
    <r>
      <rPr>
        <b/>
        <u/>
        <sz val="11"/>
        <color indexed="8"/>
        <rFont val="Calibri"/>
        <family val="2"/>
      </rPr>
      <t>click here</t>
    </r>
  </si>
  <si>
    <t>Click the appropriate link</t>
  </si>
  <si>
    <r>
      <t>In the Download Manager dialogue box, click the desired download link (</t>
    </r>
    <r>
      <rPr>
        <b/>
        <sz val="11"/>
        <rFont val="Calibri"/>
        <family val="2"/>
      </rPr>
      <t>see Note at right</t>
    </r>
    <r>
      <rPr>
        <sz val="11"/>
        <rFont val="Calibri"/>
        <family val="2"/>
      </rPr>
      <t>)</t>
    </r>
  </si>
  <si>
    <r>
      <t xml:space="preserve">Note: The first link, </t>
    </r>
    <r>
      <rPr>
        <b/>
        <u/>
        <sz val="11"/>
        <color indexed="8"/>
        <rFont val="Calibri"/>
        <family val="2"/>
      </rPr>
      <t>Click to download your file now</t>
    </r>
    <r>
      <rPr>
        <sz val="11"/>
        <color theme="1"/>
        <rFont val="Calibri"/>
        <family val="2"/>
        <scheme val="minor"/>
      </rPr>
      <t xml:space="preserve">, uses the Download Manager to download the file.  The </t>
    </r>
    <r>
      <rPr>
        <b/>
        <u/>
        <sz val="11"/>
        <color indexed="8"/>
        <rFont val="Calibri"/>
        <family val="2"/>
      </rPr>
      <t>click here</t>
    </r>
    <r>
      <rPr>
        <sz val="11"/>
        <color theme="1"/>
        <rFont val="Calibri"/>
        <family val="2"/>
        <scheme val="minor"/>
      </rPr>
      <t xml:space="preserve"> link uses your standard browser download.</t>
    </r>
  </si>
  <si>
    <t>(attach laptop to ME server)</t>
  </si>
  <si>
    <t xml:space="preserve">Note: you can alternatively attach a keyboard, mouse, and monitor to the ME server.  If you elect this installation option, you must watch the displayed boot messages and hit the Enter key within 30 seconds after the Aura splash screen appears on the monitor.  After the 30 seconds elapses, the server will ignore any further keyboard input.  </t>
  </si>
  <si>
    <t xml:space="preserve">Address your laptop Ethernet interface to 192.11.13.5 with netmask 255.255.255.252 and default gateway 192.11.13.6.  Connect it to the ME server's Services Ethernet jack (eth1, aka LAN port 2 on the ME server rear panel).  </t>
  </si>
  <si>
    <t>(Set up a console session to the System Platform installer)</t>
  </si>
  <si>
    <t>Step: Download Software files from PLDS</t>
  </si>
  <si>
    <t>Select a download location on your PC, download the .iso image</t>
  </si>
  <si>
    <t>(download .iso image file)</t>
  </si>
  <si>
    <t>Click the search icon (Magnifying Glass)</t>
  </si>
  <si>
    <t>These instructions are written for two user roles: Avaya associates or Partner associates - choose the appropriate values for your role.</t>
  </si>
  <si>
    <t>Click the search icon (magnifying glass) for Company Name</t>
  </si>
  <si>
    <r>
      <t xml:space="preserve">Note: Avaya associates may select the entry that has </t>
    </r>
    <r>
      <rPr>
        <b/>
        <sz val="11"/>
        <color indexed="8"/>
        <rFont val="Calibri"/>
        <family val="2"/>
      </rPr>
      <t>AVAYA</t>
    </r>
    <r>
      <rPr>
        <sz val="11"/>
        <color theme="1"/>
        <rFont val="Calibri"/>
        <family val="2"/>
        <scheme val="minor"/>
      </rPr>
      <t xml:space="preserve"> in the ID field instead of an ID number.</t>
    </r>
  </si>
  <si>
    <t>.iso image filename</t>
  </si>
  <si>
    <t>Step: Create the 3 ME Template Installation DVDs</t>
  </si>
  <si>
    <t>File Manager (Menu Selection)</t>
  </si>
  <si>
    <t>Insert ME Template DVD #3 into ME Server DVDROM drive</t>
  </si>
  <si>
    <t>View DVD/CD (Button)</t>
  </si>
  <si>
    <t>Copy Files (Button)</t>
  </si>
  <si>
    <t>Finalize copy (Button)</t>
  </si>
  <si>
    <r>
      <t xml:space="preserve">Click </t>
    </r>
    <r>
      <rPr>
        <b/>
        <sz val="11"/>
        <rFont val="Calibri"/>
        <family val="2"/>
      </rPr>
      <t>Finalize copy</t>
    </r>
  </si>
  <si>
    <r>
      <t xml:space="preserve">Click </t>
    </r>
    <r>
      <rPr>
        <b/>
        <sz val="11"/>
        <rFont val="Calibri"/>
        <family val="2"/>
      </rPr>
      <t>View DVD/CD</t>
    </r>
    <r>
      <rPr>
        <sz val="11"/>
        <rFont val="Calibri"/>
        <family val="2"/>
      </rPr>
      <t xml:space="preserve"> </t>
    </r>
  </si>
  <si>
    <r>
      <t xml:space="preserve">Click </t>
    </r>
    <r>
      <rPr>
        <b/>
        <sz val="11"/>
        <rFont val="Calibri"/>
        <family val="2"/>
      </rPr>
      <t>Copy Files</t>
    </r>
    <r>
      <rPr>
        <sz val="11"/>
        <rFont val="Calibri"/>
        <family val="2"/>
      </rPr>
      <t xml:space="preserve"> </t>
    </r>
  </si>
  <si>
    <r>
      <t>Click V</t>
    </r>
    <r>
      <rPr>
        <b/>
        <sz val="11"/>
        <rFont val="Calibri"/>
        <family val="2"/>
      </rPr>
      <t>iew DVD/CD</t>
    </r>
    <r>
      <rPr>
        <sz val="11"/>
        <rFont val="Calibri"/>
        <family val="2"/>
      </rPr>
      <t xml:space="preserve"> </t>
    </r>
  </si>
  <si>
    <t>Confirm that /vsp-template has sufficient space for the template</t>
  </si>
  <si>
    <t>There is 18GB available in /vsp-template</t>
  </si>
  <si>
    <t xml:space="preserve">(Available space statement displayed just above the filesystem diagram) </t>
  </si>
  <si>
    <t>(Click the button)</t>
  </si>
  <si>
    <r>
      <t xml:space="preserve">From </t>
    </r>
    <r>
      <rPr>
        <b/>
        <sz val="11"/>
        <rFont val="Calibri"/>
        <family val="2"/>
      </rPr>
      <t>Server Management</t>
    </r>
    <r>
      <rPr>
        <sz val="11"/>
        <rFont val="Calibri"/>
        <family val="2"/>
      </rPr>
      <t xml:space="preserve"> menu options, select</t>
    </r>
    <r>
      <rPr>
        <b/>
        <sz val="11"/>
        <rFont val="Calibri"/>
        <family val="2"/>
      </rPr>
      <t xml:space="preserve"> File Manager</t>
    </r>
  </si>
  <si>
    <t>Insert the ME Template DVD #1 into ME Server DVD/CD drive</t>
  </si>
  <si>
    <r>
      <t xml:space="preserve">Select </t>
    </r>
    <r>
      <rPr>
        <b/>
        <sz val="11"/>
        <color indexed="8"/>
        <rFont val="Calibri"/>
        <family val="2"/>
      </rPr>
      <t>Virtual Machine Management</t>
    </r>
  </si>
  <si>
    <t>SP Server</t>
  </si>
  <si>
    <r>
      <t xml:space="preserve">Select </t>
    </r>
    <r>
      <rPr>
        <b/>
        <sz val="11"/>
        <color indexed="8"/>
        <rFont val="Calibri"/>
        <family val="2"/>
      </rPr>
      <t>SP Server</t>
    </r>
    <r>
      <rPr>
        <sz val="11"/>
        <color theme="1"/>
        <rFont val="Calibri"/>
        <family val="2"/>
        <scheme val="minor"/>
      </rPr>
      <t xml:space="preserve"> as the media for template retrieval</t>
    </r>
  </si>
  <si>
    <r>
      <t xml:space="preserve">Click </t>
    </r>
    <r>
      <rPr>
        <b/>
        <sz val="11"/>
        <color indexed="8"/>
        <rFont val="Calibri"/>
        <family val="2"/>
      </rPr>
      <t>Search</t>
    </r>
    <r>
      <rPr>
        <sz val="11"/>
        <color theme="1"/>
        <rFont val="Calibri"/>
        <family val="2"/>
        <scheme val="minor"/>
      </rPr>
      <t xml:space="preserve"> button</t>
    </r>
  </si>
  <si>
    <r>
      <t xml:space="preserve">Click on the desired .ovf file in the </t>
    </r>
    <r>
      <rPr>
        <b/>
        <sz val="11"/>
        <color indexed="8"/>
        <rFont val="Calibri"/>
        <family val="2"/>
      </rPr>
      <t>Select Template</t>
    </r>
    <r>
      <rPr>
        <sz val="11"/>
        <color theme="1"/>
        <rFont val="Calibri"/>
        <family val="2"/>
        <scheme val="minor"/>
      </rPr>
      <t xml:space="preserve"> listing</t>
    </r>
  </si>
  <si>
    <r>
      <t xml:space="preserve">Click the </t>
    </r>
    <r>
      <rPr>
        <b/>
        <sz val="11"/>
        <color indexed="8"/>
        <rFont val="Calibri"/>
        <family val="2"/>
      </rPr>
      <t>Select</t>
    </r>
    <r>
      <rPr>
        <sz val="11"/>
        <color theme="1"/>
        <rFont val="Calibri"/>
        <family val="2"/>
        <scheme val="minor"/>
      </rPr>
      <t xml:space="preserve"> button</t>
    </r>
  </si>
  <si>
    <r>
      <t xml:space="preserve">On the Template Details screen, click the </t>
    </r>
    <r>
      <rPr>
        <b/>
        <sz val="11"/>
        <color indexed="8"/>
        <rFont val="Calibri"/>
        <family val="2"/>
      </rPr>
      <t>Install</t>
    </r>
    <r>
      <rPr>
        <sz val="11"/>
        <color theme="1"/>
        <rFont val="Calibri"/>
        <family val="2"/>
        <scheme val="minor"/>
      </rPr>
      <t xml:space="preserve"> button</t>
    </r>
  </si>
  <si>
    <t>Ensure you have pop-ups enabled on your browser</t>
  </si>
  <si>
    <t>Note: If you loaded an EPW file when you launched the template installer, then the remaining configuration values will already be populated, and it is only necessary for you to confirm the entries and advance through the pages.</t>
  </si>
  <si>
    <r>
      <t xml:space="preserve">Once dialplan is selected, the browse button becomes active. If you are using an Avaya Bulk Import Tool (ABIT) file to add users to the system, upload the correct  ABIT.txt file into the Installation Wizard using </t>
    </r>
    <r>
      <rPr>
        <b/>
        <sz val="11"/>
        <color indexed="8"/>
        <rFont val="Calibri"/>
        <family val="2"/>
      </rPr>
      <t xml:space="preserve">Browse </t>
    </r>
    <r>
      <rPr>
        <sz val="11"/>
        <color theme="1"/>
        <rFont val="Calibri"/>
        <family val="2"/>
        <scheme val="minor"/>
      </rPr>
      <t xml:space="preserve">then </t>
    </r>
    <r>
      <rPr>
        <b/>
        <sz val="11"/>
        <color indexed="8"/>
        <rFont val="Calibri"/>
        <family val="2"/>
      </rPr>
      <t>Load</t>
    </r>
  </si>
  <si>
    <r>
      <t xml:space="preserve">Click </t>
    </r>
    <r>
      <rPr>
        <b/>
        <sz val="11"/>
        <color indexed="8"/>
        <rFont val="Calibri"/>
        <family val="2"/>
      </rPr>
      <t>Accept</t>
    </r>
    <r>
      <rPr>
        <sz val="11"/>
        <color theme="1"/>
        <rFont val="Calibri"/>
        <family val="2"/>
        <scheme val="minor"/>
      </rPr>
      <t xml:space="preserve"> Button on Confirm Installation form</t>
    </r>
  </si>
  <si>
    <r>
      <t xml:space="preserve">Click </t>
    </r>
    <r>
      <rPr>
        <b/>
        <sz val="11"/>
        <color indexed="8"/>
        <rFont val="Calibri"/>
        <family val="2"/>
      </rPr>
      <t>Install</t>
    </r>
    <r>
      <rPr>
        <sz val="11"/>
        <color theme="1"/>
        <rFont val="Calibri"/>
        <family val="2"/>
        <scheme val="minor"/>
      </rPr>
      <t xml:space="preserve"> Button on Confirm Installation form</t>
    </r>
  </si>
  <si>
    <r>
      <rPr>
        <b/>
        <sz val="11"/>
        <color indexed="10"/>
        <rFont val="Calibri"/>
        <family val="2"/>
      </rPr>
      <t xml:space="preserve">Note: Submit the SAL Product Registration Request Form </t>
    </r>
    <r>
      <rPr>
        <b/>
        <u/>
        <sz val="11"/>
        <color indexed="10"/>
        <rFont val="Calibri"/>
        <family val="2"/>
      </rPr>
      <t>3 weeks</t>
    </r>
    <r>
      <rPr>
        <b/>
        <sz val="11"/>
        <color indexed="10"/>
        <rFont val="Calibri"/>
        <family val="2"/>
      </rPr>
      <t xml:space="preserve"> before installation date! </t>
    </r>
  </si>
  <si>
    <t>Step: Download Additional Documentation Required for SAL Registration</t>
  </si>
  <si>
    <t>Browse to the Avaya support site</t>
  </si>
  <si>
    <t>http://support.avaya.com</t>
  </si>
  <si>
    <r>
      <t>Scroll down the list and click on the</t>
    </r>
    <r>
      <rPr>
        <b/>
        <sz val="11"/>
        <color indexed="8"/>
        <rFont val="Calibri"/>
        <family val="2"/>
      </rPr>
      <t xml:space="preserve"> Avaya Aura® Solution for Midsize Enterprise</t>
    </r>
    <r>
      <rPr>
        <sz val="11"/>
        <color theme="1"/>
        <rFont val="Calibri"/>
        <family val="2"/>
        <scheme val="minor"/>
      </rPr>
      <t xml:space="preserve"> link.</t>
    </r>
  </si>
  <si>
    <t>(Product names beginning with "A")</t>
  </si>
  <si>
    <t>Avaya Aura® Solution for Midsize Enterprise</t>
  </si>
  <si>
    <t>Note: The document .pdf launches in your browser.</t>
  </si>
  <si>
    <r>
      <t xml:space="preserve">Save the document to your PC using your browser </t>
    </r>
    <r>
      <rPr>
        <b/>
        <sz val="11"/>
        <color indexed="8"/>
        <rFont val="Calibri"/>
        <family val="2"/>
      </rPr>
      <t>Save As</t>
    </r>
    <r>
      <rPr>
        <sz val="11"/>
        <color theme="1"/>
        <rFont val="Calibri"/>
        <family val="2"/>
        <scheme val="minor"/>
      </rPr>
      <t xml:space="preserve"> option.</t>
    </r>
  </si>
  <si>
    <t>Save As</t>
  </si>
  <si>
    <t>(location to save the file on your PC)</t>
  </si>
  <si>
    <t>Example Value</t>
  </si>
  <si>
    <t>Note:  if the ME server is already powered-on, press and hold the reset button for 10 seconds, until the front panel lights go dark.  Then press it briefly once more to start the ME server.</t>
  </si>
  <si>
    <r>
      <t xml:space="preserve">In a command window, enter </t>
    </r>
    <r>
      <rPr>
        <b/>
        <sz val="11"/>
        <color indexed="8"/>
        <rFont val="Calibri"/>
        <family val="2"/>
      </rPr>
      <t>ping -t 192.11.13.6</t>
    </r>
    <r>
      <rPr>
        <sz val="11"/>
        <color theme="1"/>
        <rFont val="Calibri"/>
        <family val="2"/>
        <scheme val="minor"/>
      </rPr>
      <t xml:space="preserve"> until you see a response to the pings.  Then open a Putty </t>
    </r>
    <r>
      <rPr>
        <u/>
        <sz val="11"/>
        <color indexed="8"/>
        <rFont val="Calibri"/>
        <family val="2"/>
      </rPr>
      <t>telnet</t>
    </r>
    <r>
      <rPr>
        <sz val="11"/>
        <color theme="1"/>
        <rFont val="Calibri"/>
        <family val="2"/>
        <scheme val="minor"/>
      </rPr>
      <t xml:space="preserve"> session to connect to 192.11.13.6, and select UTF-8 for the </t>
    </r>
    <r>
      <rPr>
        <b/>
        <sz val="11"/>
        <color indexed="8"/>
        <rFont val="Calibri"/>
        <family val="2"/>
      </rPr>
      <t>Translation -&gt; Character Set</t>
    </r>
    <r>
      <rPr>
        <sz val="11"/>
        <color theme="1"/>
        <rFont val="Calibri"/>
        <family val="2"/>
        <scheme val="minor"/>
      </rPr>
      <t xml:space="preserve"> in the Putty console before connecting.</t>
    </r>
  </si>
  <si>
    <r>
      <t xml:space="preserve">Note:  when the telnet session connects, you do not login: you are instead presented with the SP installer's first screen, </t>
    </r>
    <r>
      <rPr>
        <b/>
        <sz val="11"/>
        <color indexed="8"/>
        <rFont val="Calibri"/>
        <family val="2"/>
      </rPr>
      <t>Select Keyboard Type</t>
    </r>
    <r>
      <rPr>
        <sz val="11"/>
        <color theme="1"/>
        <rFont val="Calibri"/>
        <family val="2"/>
        <scheme val="minor"/>
      </rPr>
      <t>.</t>
    </r>
  </si>
  <si>
    <t>Note: SP Installer now installs the software.  This action typically requires 6-10 minutes.</t>
  </si>
  <si>
    <t>when the CD ejects, remove the CD and close the  tray</t>
  </si>
  <si>
    <t>Insert ME Template DVD #2 into ME Server DVD/CD drive</t>
  </si>
  <si>
    <t>(click the navigational option)</t>
  </si>
  <si>
    <t>(click the Search button)</t>
  </si>
  <si>
    <t>The Wizard runs in a pop up window, and the browser may initially block it</t>
  </si>
  <si>
    <r>
      <t xml:space="preserve">When the template installer reaches </t>
    </r>
    <r>
      <rPr>
        <b/>
        <sz val="11"/>
        <color indexed="8"/>
        <rFont val="Calibri"/>
        <family val="2"/>
      </rPr>
      <t>Wait for user to complete data entry</t>
    </r>
    <r>
      <rPr>
        <sz val="11"/>
        <color theme="1"/>
        <rFont val="Calibri"/>
        <family val="2"/>
        <scheme val="minor"/>
      </rPr>
      <t xml:space="preserve">, the Installation Wizard launches.  The first screen is the </t>
    </r>
    <r>
      <rPr>
        <b/>
        <sz val="11"/>
        <color indexed="8"/>
        <rFont val="Calibri"/>
        <family val="2"/>
      </rPr>
      <t>Network Settings</t>
    </r>
    <r>
      <rPr>
        <sz val="11"/>
        <color theme="1"/>
        <rFont val="Calibri"/>
        <family val="2"/>
        <scheme val="minor"/>
      </rPr>
      <t xml:space="preserve"> form.</t>
    </r>
  </si>
  <si>
    <t>Automatically set by the Installation Wizard</t>
  </si>
  <si>
    <t>(field defaults to blank)</t>
  </si>
  <si>
    <t>(click the Next Step link)</t>
  </si>
  <si>
    <t>Note: If you used the Standalone Installation Wizard to prepare an epw.zip file, you can use controls on this screen to browse to, select, and load that EPW file.  Doing so will prepopulate all the Installation Wizard fields.</t>
  </si>
  <si>
    <t>Note: The window opened by the Installation Wizard is too narrow to display all the fields.  Extend it to the right until you can see the Default Domain box on the last row of  fields.</t>
  </si>
  <si>
    <t>Step: Configure Avaya Media Gateway G430 or G450</t>
  </si>
  <si>
    <t>This section covers the G430 and G450 H.248 media gateways only.  Other H.248 media gateways can be used, as can G650-based media resource configurations.  Please see the Avaya guides  to configure other types of media gateways than G430 or G450.</t>
  </si>
  <si>
    <t xml:space="preserve">Address your laptop Ethernet interface to 192.11.13.5 with netmask 255.255.255.252 and default gateway 192.11.13.6.  Connect it to the Media Gateway's Services Ethernet jack.  </t>
  </si>
  <si>
    <t>Open a Putty SSH session, connecting to 192.11.13.6</t>
  </si>
  <si>
    <r>
      <t xml:space="preserve">At the login prompt, enter username </t>
    </r>
    <r>
      <rPr>
        <b/>
        <sz val="11"/>
        <color indexed="8"/>
        <rFont val="Calibri"/>
        <family val="2"/>
      </rPr>
      <t>root</t>
    </r>
  </si>
  <si>
    <t>Login:</t>
  </si>
  <si>
    <t>root</t>
  </si>
  <si>
    <t>h248root</t>
  </si>
  <si>
    <t>At the prompt, enter "y" to configure basic gateway connectivity.</t>
  </si>
  <si>
    <t>Enter new password:</t>
  </si>
  <si>
    <t>At the prompt, confirm the new password</t>
  </si>
  <si>
    <t>Configuration Script - do you want to continue (Y/N)?</t>
  </si>
  <si>
    <t>Y</t>
  </si>
  <si>
    <r>
      <t xml:space="preserve">Note: the configuration script runs automatically on first login on a new media gateway.  You can manually run it later by entering the </t>
    </r>
    <r>
      <rPr>
        <b/>
        <sz val="11"/>
        <color indexed="8"/>
        <rFont val="Calibri"/>
        <family val="2"/>
      </rPr>
      <t>script-config</t>
    </r>
    <r>
      <rPr>
        <sz val="11"/>
        <color theme="1"/>
        <rFont val="Calibri"/>
        <family val="2"/>
        <scheme val="minor"/>
      </rPr>
      <t xml:space="preserve"> CLI command, as long as you have not yet saved any values.  You can also enter the </t>
    </r>
    <r>
      <rPr>
        <b/>
        <sz val="11"/>
        <color indexed="8"/>
        <rFont val="Calibri"/>
        <family val="2"/>
      </rPr>
      <t>nvram init</t>
    </r>
    <r>
      <rPr>
        <sz val="11"/>
        <color theme="1"/>
        <rFont val="Calibri"/>
        <family val="2"/>
        <scheme val="minor"/>
      </rPr>
      <t xml:space="preserve"> CLI command to restore the media gateway to factory defaults.  It will then reboot, and you can treat it as a first-login media-gateway install.</t>
    </r>
  </si>
  <si>
    <t>Accept the default VLAN number</t>
  </si>
  <si>
    <t>Vlan:</t>
  </si>
  <si>
    <t>IP address:</t>
  </si>
  <si>
    <t>Enter the Media Gateway's IP Address</t>
  </si>
  <si>
    <t>Enter the Media Gateway's Subnet mask</t>
  </si>
  <si>
    <t>Subnet mask:</t>
  </si>
  <si>
    <t>Enter the Media Gateway's Default Gateway</t>
  </si>
  <si>
    <t>Enter the Media Gateway's MGC controller</t>
  </si>
  <si>
    <t>Default gateway:</t>
  </si>
  <si>
    <t>MGC controllers:</t>
  </si>
  <si>
    <t>Enter the Media Gateway Type as Hostname</t>
  </si>
  <si>
    <t>At the save-and-reset prompt, enter "y"</t>
  </si>
  <si>
    <t>do you want to continue?</t>
  </si>
  <si>
    <t>Connect the Media Gateway to power</t>
  </si>
  <si>
    <t>Hostname (or IP address)</t>
  </si>
  <si>
    <t>192.11.13.6</t>
  </si>
  <si>
    <t>Connect the Media Gateway LAN 10/3 jack to your Ethernet switch with an Ethernet cable.</t>
  </si>
  <si>
    <t>When the media gateway reboot is complete, the media gateway is ready to register with CM and provide media services.</t>
  </si>
  <si>
    <t>Value for your System</t>
  </si>
  <si>
    <t>Record the new password for future reference.  h248root is just an example: choose any password that you prefer.</t>
  </si>
  <si>
    <t>Logging into System Platform multiple times is  not required. If you have an active login into System Platform web console these login steps may be skipped.</t>
  </si>
  <si>
    <t>When the console screen re-appears, login as admin</t>
  </si>
  <si>
    <r>
      <t xml:space="preserve">Navigate to </t>
    </r>
    <r>
      <rPr>
        <b/>
        <sz val="11"/>
        <color indexed="8"/>
        <rFont val="Calibri"/>
        <family val="2"/>
      </rPr>
      <t>Server Management -&gt; Patch Management -&gt; Manage</t>
    </r>
  </si>
  <si>
    <t>Server Management -&gt; Patch Management -&gt; Manage</t>
  </si>
  <si>
    <t>(System Platform) Status</t>
  </si>
  <si>
    <t>Active</t>
  </si>
  <si>
    <t>Confirm that the patch successfully installed</t>
  </si>
  <si>
    <t>(Skip this if you're already logged in)</t>
  </si>
  <si>
    <t>Change the transfer protocol from SFTP to SCP</t>
  </si>
  <si>
    <t>File Protocol:</t>
  </si>
  <si>
    <t>SCP</t>
  </si>
  <si>
    <t>Click "OK" or "Continue" as necessary in key warning, restricted system access, etc. dialogue boxes.</t>
  </si>
  <si>
    <t>Update, Continue, OK, etc.</t>
  </si>
  <si>
    <t>(click the buttons to progress)</t>
  </si>
  <si>
    <t>When the copy completes, close the WinSCP window</t>
  </si>
  <si>
    <t>"X" icon, upper right corner</t>
  </si>
  <si>
    <t>Click "OK" button in the "Terminate session?" dialogue box</t>
  </si>
  <si>
    <t>(click the "Yes" button)</t>
  </si>
  <si>
    <t xml:space="preserve">(click the "X" to exit  WinSCP) </t>
  </si>
  <si>
    <t>(click the "OK" button)</t>
  </si>
  <si>
    <t>Yes (button)</t>
  </si>
  <si>
    <t>Click "Yes" button in "Potential Security Breach" dialog box</t>
  </si>
  <si>
    <t>Use WinSCP or similar file transfer utility to connect to the PS VM.</t>
  </si>
  <si>
    <t>Open a Putty SSH session to the PS VM IP address.</t>
  </si>
  <si>
    <t>$PRES_HOME/presence/bin/stop.sh</t>
  </si>
  <si>
    <t>Start the Presence Server software</t>
  </si>
  <si>
    <t>$PRES_HOME/presence/bin/start.sh</t>
  </si>
  <si>
    <t>swversion</t>
  </si>
  <si>
    <t>replace autoUninstall.properties?</t>
  </si>
  <si>
    <t>Re-address your PC Ethernet interface to an unused LAN IP address.</t>
  </si>
  <si>
    <t>(PC LAN Interface Configuration Dialog)</t>
  </si>
  <si>
    <t>Move your PC Ethernet connection from the ME Server Services Port to the LAN (Ethernet switch for the system).</t>
  </si>
  <si>
    <t>Step: Move your installation PC to the LAN, if it is still connected to the ME Server's Services Port</t>
  </si>
  <si>
    <t>Note: Logging into System Platform multiple times (as shown below for each patch or service pack) is  not required. If you have an active login into System Platform web console, these redundant login steps may be skipped.</t>
  </si>
  <si>
    <t>Currently no Communication Manager configuration is required.</t>
  </si>
  <si>
    <t>NOTE: It's a good working practice to log into Communication Manager and perform a "save translation" as the last thing before finishing the installation.</t>
  </si>
  <si>
    <t>System Platform</t>
  </si>
  <si>
    <t>Enter Communication Manager Fully qualified domain name</t>
  </si>
  <si>
    <t>Enter Utility Server Fully qualified domain name</t>
  </si>
  <si>
    <r>
      <t xml:space="preserve">In the </t>
    </r>
    <r>
      <rPr>
        <b/>
        <sz val="11"/>
        <color indexed="8"/>
        <rFont val="Calibri"/>
        <family val="2"/>
      </rPr>
      <t>Users</t>
    </r>
    <r>
      <rPr>
        <sz val="11"/>
        <color theme="1"/>
        <rFont val="Calibri"/>
        <family val="2"/>
        <scheme val="minor"/>
      </rPr>
      <t xml:space="preserve"> column, click </t>
    </r>
    <r>
      <rPr>
        <b/>
        <sz val="11"/>
        <color indexed="8"/>
        <rFont val="Calibri"/>
        <family val="2"/>
      </rPr>
      <t>User Management</t>
    </r>
  </si>
  <si>
    <r>
      <t xml:space="preserve">In your SMGR browser session, click on the </t>
    </r>
    <r>
      <rPr>
        <b/>
        <sz val="11"/>
        <color indexed="8"/>
        <rFont val="Calibri"/>
        <family val="2"/>
      </rPr>
      <t>Home</t>
    </r>
    <r>
      <rPr>
        <sz val="11"/>
        <color theme="1"/>
        <rFont val="Calibri"/>
        <family val="2"/>
        <scheme val="minor"/>
      </rPr>
      <t xml:space="preserve"> tab at the top right corner of the form</t>
    </r>
  </si>
  <si>
    <t>Home tab</t>
  </si>
  <si>
    <t>(navigational pane)</t>
  </si>
  <si>
    <t>Users column</t>
  </si>
  <si>
    <t>(click User Management)</t>
  </si>
  <si>
    <t>click Inventory, then Synchronization, then Communication System</t>
  </si>
  <si>
    <t>(click Manage Users)</t>
  </si>
  <si>
    <r>
      <t xml:space="preserve">In the Manage Job section select the tick box next to RUNNING user add task, and select </t>
    </r>
    <r>
      <rPr>
        <b/>
        <sz val="11"/>
        <color indexed="8"/>
        <rFont val="Calibri"/>
        <family val="2"/>
      </rPr>
      <t>View Job</t>
    </r>
  </si>
  <si>
    <t>More Actions (drop-down menu)</t>
  </si>
  <si>
    <t>Select Import Users</t>
  </si>
  <si>
    <t>Browse (button)</t>
  </si>
  <si>
    <t>(click the Browse button)</t>
  </si>
  <si>
    <r>
      <t xml:space="preserve">Browse to the users.xml file on your PC, select it, and click </t>
    </r>
    <r>
      <rPr>
        <b/>
        <sz val="11"/>
        <color indexed="8"/>
        <rFont val="Calibri"/>
        <family val="2"/>
      </rPr>
      <t>Open</t>
    </r>
  </si>
  <si>
    <t>Open (button)</t>
  </si>
  <si>
    <t>(click button to open users.xml)</t>
  </si>
  <si>
    <t>(click the Import button)</t>
  </si>
  <si>
    <t>View Job</t>
  </si>
  <si>
    <t>(select View Job)</t>
  </si>
  <si>
    <t>Count, Success</t>
  </si>
  <si>
    <t>(confirm values are correct)</t>
  </si>
  <si>
    <t>click Home tab, then Inventory, then Synchronization, then Communication System</t>
  </si>
  <si>
    <t>Step: Configure ADVD User 5350004</t>
  </si>
  <si>
    <t>Step: Configure Series-1000 User 5350001</t>
  </si>
  <si>
    <t>5350001 (Series-1000)</t>
  </si>
  <si>
    <t>Enables video for the Series-1000 endpoint.</t>
  </si>
  <si>
    <r>
      <t xml:space="preserve">In the </t>
    </r>
    <r>
      <rPr>
        <b/>
        <sz val="11"/>
        <color indexed="8"/>
        <rFont val="Calibri"/>
        <family val="2"/>
      </rPr>
      <t>Main Buttons</t>
    </r>
    <r>
      <rPr>
        <sz val="11"/>
        <color theme="1"/>
        <rFont val="Calibri"/>
        <family val="2"/>
        <scheme val="minor"/>
      </rPr>
      <t xml:space="preserve"> and </t>
    </r>
    <r>
      <rPr>
        <b/>
        <sz val="11"/>
        <color indexed="8"/>
        <rFont val="Calibri"/>
        <family val="2"/>
      </rPr>
      <t>Feature Buttons</t>
    </r>
    <r>
      <rPr>
        <sz val="11"/>
        <color theme="1"/>
        <rFont val="Calibri"/>
        <family val="2"/>
        <scheme val="minor"/>
      </rPr>
      <t xml:space="preserve"> section, set the number of call appearances appropriate to the Series-1000 model:
1010 - 2
1020 - 2
1030 - 2
1040 - 3
1050 - 7</t>
    </r>
  </si>
  <si>
    <t>Change Main Buttons to "call-appr" or to "Select", to configure the appropriate number of call appearances for the specific model of Series-1000 endpoint.</t>
  </si>
  <si>
    <r>
      <t>Click the checkbox for "</t>
    </r>
    <r>
      <rPr>
        <b/>
        <sz val="11"/>
        <color indexed="8"/>
        <rFont val="Calibri"/>
        <family val="2"/>
      </rPr>
      <t>Delete subscriber on Unassign of Subscriber from User or on Delete User</t>
    </r>
    <r>
      <rPr>
        <sz val="11"/>
        <color theme="1"/>
        <rFont val="Calibri"/>
        <family val="2"/>
        <scheme val="minor"/>
      </rPr>
      <t>"</t>
    </r>
  </si>
  <si>
    <t>Delete subscriber on Unassign of Subscriber from User or on Delete User (Checkbox)</t>
  </si>
  <si>
    <t>Last Name, First Name (ADVD)</t>
  </si>
  <si>
    <t>Substitute user's last name and first name for "Last Name, First Name"</t>
  </si>
  <si>
    <t>System Platform Software</t>
  </si>
  <si>
    <t>Updates, Service Packs, and Patches for ME Applications</t>
  </si>
  <si>
    <t>Sip Entities (Page)</t>
  </si>
  <si>
    <t>(navigate to SIP Entities)</t>
  </si>
  <si>
    <r>
      <t xml:space="preserve">Click on </t>
    </r>
    <r>
      <rPr>
        <b/>
        <sz val="11"/>
        <color indexed="8"/>
        <rFont val="Calibri"/>
        <family val="2"/>
      </rPr>
      <t>SessionManager1</t>
    </r>
    <r>
      <rPr>
        <sz val="11"/>
        <color theme="1"/>
        <rFont val="Calibri"/>
        <family val="2"/>
        <scheme val="minor"/>
      </rPr>
      <t xml:space="preserve"> in the </t>
    </r>
    <r>
      <rPr>
        <b/>
        <sz val="11"/>
        <color indexed="8"/>
        <rFont val="Calibri"/>
        <family val="2"/>
      </rPr>
      <t>Name</t>
    </r>
    <r>
      <rPr>
        <sz val="11"/>
        <color theme="1"/>
        <rFont val="Calibri"/>
        <family val="2"/>
        <scheme val="minor"/>
      </rPr>
      <t xml:space="preserve"> column</t>
    </r>
  </si>
  <si>
    <t>Navigate to Elements -&gt; Routing -&gt; Sip Entities</t>
  </si>
  <si>
    <r>
      <t xml:space="preserve">In the </t>
    </r>
    <r>
      <rPr>
        <b/>
        <sz val="11"/>
        <color indexed="8"/>
        <rFont val="Calibri"/>
        <family val="2"/>
      </rPr>
      <t>Port</t>
    </r>
    <r>
      <rPr>
        <sz val="11"/>
        <color theme="1"/>
        <rFont val="Calibri"/>
        <family val="2"/>
        <scheme val="minor"/>
      </rPr>
      <t xml:space="preserve"> section of the page, click the </t>
    </r>
    <r>
      <rPr>
        <b/>
        <sz val="11"/>
        <color indexed="8"/>
        <rFont val="Calibri"/>
        <family val="2"/>
      </rPr>
      <t>Add</t>
    </r>
    <r>
      <rPr>
        <sz val="11"/>
        <color theme="1"/>
        <rFont val="Calibri"/>
        <family val="2"/>
        <scheme val="minor"/>
      </rPr>
      <t xml:space="preserve"> button</t>
    </r>
  </si>
  <si>
    <t>Add (Button)</t>
  </si>
  <si>
    <t>(click the Add button)</t>
  </si>
  <si>
    <r>
      <t xml:space="preserve">Enter 5060 in the </t>
    </r>
    <r>
      <rPr>
        <b/>
        <sz val="11"/>
        <color indexed="8"/>
        <rFont val="Calibri"/>
        <family val="2"/>
      </rPr>
      <t>Port</t>
    </r>
    <r>
      <rPr>
        <sz val="11"/>
        <color theme="1"/>
        <rFont val="Calibri"/>
        <family val="2"/>
        <scheme val="minor"/>
      </rPr>
      <t xml:space="preserve"> field</t>
    </r>
  </si>
  <si>
    <t>Protocol</t>
  </si>
  <si>
    <t>UDP</t>
  </si>
  <si>
    <r>
      <t xml:space="preserve">Enter UDP in the </t>
    </r>
    <r>
      <rPr>
        <b/>
        <sz val="11"/>
        <color indexed="8"/>
        <rFont val="Calibri"/>
        <family val="2"/>
      </rPr>
      <t>Protocol</t>
    </r>
    <r>
      <rPr>
        <sz val="11"/>
        <color theme="1"/>
        <rFont val="Calibri"/>
        <family val="2"/>
        <scheme val="minor"/>
      </rPr>
      <t xml:space="preserve"> field</t>
    </r>
  </si>
  <si>
    <r>
      <t xml:space="preserve">Select the SIP domain from the </t>
    </r>
    <r>
      <rPr>
        <b/>
        <sz val="11"/>
        <color indexed="8"/>
        <rFont val="Calibri"/>
        <family val="2"/>
      </rPr>
      <t>Default Domain</t>
    </r>
    <r>
      <rPr>
        <sz val="11"/>
        <color theme="1"/>
        <rFont val="Calibri"/>
        <family val="2"/>
        <scheme val="minor"/>
      </rPr>
      <t xml:space="preserve"> drop-down menu</t>
    </r>
  </si>
  <si>
    <t>Default Domain (drop-down)</t>
  </si>
  <si>
    <t>Click the Commit button</t>
  </si>
  <si>
    <r>
      <t xml:space="preserve">Click the </t>
    </r>
    <r>
      <rPr>
        <b/>
        <sz val="11"/>
        <color indexed="8"/>
        <rFont val="Calibri"/>
        <family val="2"/>
      </rPr>
      <t>Commit</t>
    </r>
    <r>
      <rPr>
        <sz val="11"/>
        <color theme="1"/>
        <rFont val="Calibri"/>
        <family val="2"/>
        <scheme val="minor"/>
      </rPr>
      <t xml:space="preserve"> button</t>
    </r>
  </si>
  <si>
    <t>Step: Add UDP port to Session Manager SIP Entity</t>
  </si>
  <si>
    <t>New (button)</t>
  </si>
  <si>
    <t>(click the New button)</t>
  </si>
  <si>
    <r>
      <t xml:space="preserve">Click the </t>
    </r>
    <r>
      <rPr>
        <b/>
        <sz val="11"/>
        <color indexed="8"/>
        <rFont val="Calibri"/>
        <family val="2"/>
      </rPr>
      <t>New</t>
    </r>
    <r>
      <rPr>
        <sz val="11"/>
        <color theme="1"/>
        <rFont val="Calibri"/>
        <family val="2"/>
        <scheme val="minor"/>
      </rPr>
      <t xml:space="preserve"> button</t>
    </r>
  </si>
  <si>
    <t>Enter AAC in Name field</t>
  </si>
  <si>
    <t>Name:</t>
  </si>
  <si>
    <t>AAC</t>
  </si>
  <si>
    <t>Step: Create SIP Entity for Conference Server</t>
  </si>
  <si>
    <t>FQDN or IP Address:</t>
  </si>
  <si>
    <r>
      <t xml:space="preserve">Select SIP Trunk from </t>
    </r>
    <r>
      <rPr>
        <b/>
        <sz val="11"/>
        <color indexed="8"/>
        <rFont val="Calibri"/>
        <family val="2"/>
      </rPr>
      <t>Type</t>
    </r>
    <r>
      <rPr>
        <sz val="11"/>
        <color theme="1"/>
        <rFont val="Calibri"/>
        <family val="2"/>
        <scheme val="minor"/>
      </rPr>
      <t xml:space="preserve"> drop-down menu</t>
    </r>
  </si>
  <si>
    <t>Select location from the Location drop-down menu</t>
  </si>
  <si>
    <t>Location:</t>
  </si>
  <si>
    <t>Select  time zone from the Time Zone drop-down menu</t>
  </si>
  <si>
    <t>Navigate to Elements -&gt; Routing -&gt; Entity Links</t>
  </si>
  <si>
    <t>(navigate to Entity Links)</t>
  </si>
  <si>
    <t>Entity Links (Page)</t>
  </si>
  <si>
    <r>
      <t xml:space="preserve">Click </t>
    </r>
    <r>
      <rPr>
        <b/>
        <sz val="11"/>
        <color indexed="8"/>
        <rFont val="Calibri"/>
        <family val="2"/>
      </rPr>
      <t>New</t>
    </r>
  </si>
  <si>
    <r>
      <t xml:space="preserve">Enter a </t>
    </r>
    <r>
      <rPr>
        <b/>
        <sz val="11"/>
        <color indexed="8"/>
        <rFont val="Calibri"/>
        <family val="2"/>
      </rPr>
      <t>Name</t>
    </r>
    <r>
      <rPr>
        <sz val="11"/>
        <color theme="1"/>
        <rFont val="Calibri"/>
        <family val="2"/>
        <scheme val="minor"/>
      </rPr>
      <t xml:space="preserve"> for the link</t>
    </r>
  </si>
  <si>
    <t>SM-to-AAC-UDP</t>
  </si>
  <si>
    <t>Select SIP Entity from the SIP Entity 1 drop-down menu</t>
  </si>
  <si>
    <t>SIP Entity 1</t>
  </si>
  <si>
    <t>Select SIP Entity from the SIP Entity 2 drop-down menu</t>
  </si>
  <si>
    <r>
      <t xml:space="preserve">Select UDP from the </t>
    </r>
    <r>
      <rPr>
        <b/>
        <sz val="11"/>
        <color indexed="8"/>
        <rFont val="Calibri"/>
        <family val="2"/>
      </rPr>
      <t>Protocol</t>
    </r>
    <r>
      <rPr>
        <sz val="11"/>
        <color theme="1"/>
        <rFont val="Calibri"/>
        <family val="2"/>
        <scheme val="minor"/>
      </rPr>
      <t xml:space="preserve"> drop-down menu</t>
    </r>
  </si>
  <si>
    <t>SIP Entity 2</t>
  </si>
  <si>
    <t>Trusted (checkbox)</t>
  </si>
  <si>
    <t>(Trusted checkbox is checked)</t>
  </si>
  <si>
    <r>
      <t xml:space="preserve">Confirm that </t>
    </r>
    <r>
      <rPr>
        <b/>
        <sz val="11"/>
        <color indexed="8"/>
        <rFont val="Calibri"/>
        <family val="2"/>
      </rPr>
      <t>Trusted</t>
    </r>
    <r>
      <rPr>
        <sz val="11"/>
        <color theme="1"/>
        <rFont val="Calibri"/>
        <family val="2"/>
        <scheme val="minor"/>
      </rPr>
      <t xml:space="preserve"> checkbox is checked</t>
    </r>
  </si>
  <si>
    <r>
      <t xml:space="preserve">Enter </t>
    </r>
    <r>
      <rPr>
        <b/>
        <sz val="11"/>
        <color indexed="8"/>
        <rFont val="Calibri"/>
        <family val="2"/>
      </rPr>
      <t>Port</t>
    </r>
    <r>
      <rPr>
        <sz val="11"/>
        <color theme="1"/>
        <rFont val="Calibri"/>
        <family val="2"/>
        <scheme val="minor"/>
      </rPr>
      <t xml:space="preserve"> 5060</t>
    </r>
  </si>
  <si>
    <t>Step: Create UDP SIP Entity Link for SM - to - Conference Server</t>
  </si>
  <si>
    <t>Step: Create TCP SIP Entity Link for SM - to - Conference Server</t>
  </si>
  <si>
    <t>SM-to-AAC-TCP</t>
  </si>
  <si>
    <t>TCP</t>
  </si>
  <si>
    <t>Navigate to Elements -&gt; Routing -&gt; Routing Policies</t>
  </si>
  <si>
    <t>Routing Policies (Page)</t>
  </si>
  <si>
    <t>(navigate to Routing Policies)</t>
  </si>
  <si>
    <r>
      <t xml:space="preserve">Click </t>
    </r>
    <r>
      <rPr>
        <b/>
        <sz val="11"/>
        <color indexed="8"/>
        <rFont val="Calibri"/>
        <family val="2"/>
      </rPr>
      <t>New</t>
    </r>
    <r>
      <rPr>
        <sz val="11"/>
        <color theme="1"/>
        <rFont val="Calibri"/>
        <family val="2"/>
        <scheme val="minor"/>
      </rPr>
      <t xml:space="preserve"> button</t>
    </r>
  </si>
  <si>
    <t>toAAC</t>
  </si>
  <si>
    <r>
      <t xml:space="preserve">Enter a </t>
    </r>
    <r>
      <rPr>
        <b/>
        <sz val="11"/>
        <color indexed="8"/>
        <rFont val="Calibri"/>
        <family val="2"/>
      </rPr>
      <t>Name</t>
    </r>
    <r>
      <rPr>
        <sz val="11"/>
        <color theme="1"/>
        <rFont val="Calibri"/>
        <family val="2"/>
        <scheme val="minor"/>
      </rPr>
      <t xml:space="preserve"> for the new routing policy</t>
    </r>
  </si>
  <si>
    <r>
      <t xml:space="preserve">Click </t>
    </r>
    <r>
      <rPr>
        <b/>
        <sz val="11"/>
        <color indexed="8"/>
        <rFont val="Calibri"/>
        <family val="2"/>
      </rPr>
      <t>Select</t>
    </r>
    <r>
      <rPr>
        <sz val="11"/>
        <color theme="1"/>
        <rFont val="Calibri"/>
        <family val="2"/>
        <scheme val="minor"/>
      </rPr>
      <t xml:space="preserve"> button under </t>
    </r>
    <r>
      <rPr>
        <b/>
        <sz val="11"/>
        <color indexed="8"/>
        <rFont val="Calibri"/>
        <family val="2"/>
      </rPr>
      <t>SIP Entity as Destination</t>
    </r>
  </si>
  <si>
    <t>Select (button)</t>
  </si>
  <si>
    <t>(click the Select button)</t>
  </si>
  <si>
    <t>AAC (radio button)</t>
  </si>
  <si>
    <t>(click the AAC radio button)</t>
  </si>
  <si>
    <t>Click the Select button</t>
  </si>
  <si>
    <t>Click the radio button for the conference server SIP entity (AAC)</t>
  </si>
  <si>
    <t>Step: Create a Dial Pattern</t>
  </si>
  <si>
    <t>Step: Create a Regular Expression for Ad Hoc Direct</t>
  </si>
  <si>
    <t>Step: Create a Regular Expression for Direct Subscribe</t>
  </si>
  <si>
    <t>Step: Create a Regulard Expression for Mcu-Resources</t>
  </si>
  <si>
    <t>Navigate to Elements -&gt; Routing -&gt; Regular Expressions</t>
  </si>
  <si>
    <t>Regular Expressions (Page)</t>
  </si>
  <si>
    <t>(navigate to Regular Expressions)</t>
  </si>
  <si>
    <t>Pattern:</t>
  </si>
  <si>
    <t>AdhocDirect.*</t>
  </si>
  <si>
    <t>Rank Order:</t>
  </si>
  <si>
    <r>
      <t xml:space="preserve">Under </t>
    </r>
    <r>
      <rPr>
        <b/>
        <sz val="11"/>
        <color indexed="8"/>
        <rFont val="Calibri"/>
        <family val="2"/>
      </rPr>
      <t>Routing Policy</t>
    </r>
    <r>
      <rPr>
        <sz val="11"/>
        <color theme="1"/>
        <rFont val="Calibri"/>
        <family val="2"/>
        <scheme val="minor"/>
      </rPr>
      <t xml:space="preserve">, click the </t>
    </r>
    <r>
      <rPr>
        <b/>
        <sz val="11"/>
        <color indexed="8"/>
        <rFont val="Calibri"/>
        <family val="2"/>
      </rPr>
      <t>Add</t>
    </r>
    <r>
      <rPr>
        <sz val="11"/>
        <color theme="1"/>
        <rFont val="Calibri"/>
        <family val="2"/>
        <scheme val="minor"/>
      </rPr>
      <t xml:space="preserve"> button</t>
    </r>
  </si>
  <si>
    <r>
      <t xml:space="preserve">Enter the </t>
    </r>
    <r>
      <rPr>
        <b/>
        <sz val="11"/>
        <color indexed="8"/>
        <rFont val="Calibri"/>
        <family val="2"/>
      </rPr>
      <t>Rank Order</t>
    </r>
  </si>
  <si>
    <r>
      <t xml:space="preserve">Enter the </t>
    </r>
    <r>
      <rPr>
        <b/>
        <sz val="11"/>
        <color indexed="8"/>
        <rFont val="Calibri"/>
        <family val="2"/>
      </rPr>
      <t>Pattern</t>
    </r>
  </si>
  <si>
    <t>Click the checkbox for to AAC</t>
  </si>
  <si>
    <t>toAAC (checkbox)</t>
  </si>
  <si>
    <t>(click the checkbox for toAAC)</t>
  </si>
  <si>
    <t>directSubscribe.*</t>
  </si>
  <si>
    <t>mcu-resources.*</t>
  </si>
  <si>
    <t>Navigate to Elements -&gt; Routing -&gt; Dial Patterns</t>
  </si>
  <si>
    <t>Dial Patterns (Page)</t>
  </si>
  <si>
    <t>(navigate to Dial Patterns)</t>
  </si>
  <si>
    <t>Enter the Minimum dial pattern length for the pilot number</t>
  </si>
  <si>
    <t>Min:</t>
  </si>
  <si>
    <t>Max:</t>
  </si>
  <si>
    <t>SIP Domain: (drop-down menu)</t>
  </si>
  <si>
    <t>All</t>
  </si>
  <si>
    <t>Confirm that ALL is selected for SIP Domain</t>
  </si>
  <si>
    <r>
      <t xml:space="preserve">Under </t>
    </r>
    <r>
      <rPr>
        <b/>
        <sz val="11"/>
        <color indexed="8"/>
        <rFont val="Calibri"/>
        <family val="2"/>
      </rPr>
      <t>Originating Locations and Routing Policies</t>
    </r>
    <r>
      <rPr>
        <sz val="11"/>
        <color theme="1"/>
        <rFont val="Calibri"/>
        <family val="2"/>
        <scheme val="minor"/>
      </rPr>
      <t xml:space="preserve">, click </t>
    </r>
    <r>
      <rPr>
        <b/>
        <sz val="11"/>
        <color indexed="8"/>
        <rFont val="Calibri"/>
        <family val="2"/>
      </rPr>
      <t>Add</t>
    </r>
  </si>
  <si>
    <r>
      <t xml:space="preserve">Under Originating Location, click the checkbox for </t>
    </r>
    <r>
      <rPr>
        <b/>
        <sz val="11"/>
        <color indexed="8"/>
        <rFont val="Calibri"/>
        <family val="2"/>
      </rPr>
      <t>Apply The Selected Routing Policies to All Originating Locations</t>
    </r>
  </si>
  <si>
    <r>
      <t xml:space="preserve">Under </t>
    </r>
    <r>
      <rPr>
        <b/>
        <sz val="11"/>
        <color indexed="8"/>
        <rFont val="Calibri"/>
        <family val="2"/>
      </rPr>
      <t>Routing Policies</t>
    </r>
    <r>
      <rPr>
        <sz val="11"/>
        <color theme="1"/>
        <rFont val="Calibri"/>
        <family val="2"/>
        <scheme val="minor"/>
      </rPr>
      <t xml:space="preserve"> check the box for </t>
    </r>
    <r>
      <rPr>
        <b/>
        <sz val="11"/>
        <color indexed="8"/>
        <rFont val="Calibri"/>
        <family val="2"/>
      </rPr>
      <t>toAAC</t>
    </r>
  </si>
  <si>
    <t>Apply the Selected Routing Policies to All Originating Locations (checkbox)</t>
  </si>
  <si>
    <t xml:space="preserve">This is the Pilot Number for the Conference Bridge.  When an endpoint dials a digit string that matches this pattern,  (for a "meet-me" or scheduled conference), the call is routed by SM to the Conference Bridge. </t>
  </si>
  <si>
    <t>Optional Information for AAC6.0SE Conference  Integration</t>
  </si>
  <si>
    <t>Conference Bridge IP Address</t>
  </si>
  <si>
    <t>135.6.4.81</t>
  </si>
  <si>
    <t>Conference Bridge Pilot Number Pattern</t>
  </si>
  <si>
    <t>Conference Bridge Pilot Number Minimum Digit Length</t>
  </si>
  <si>
    <t>Conference Bridge Pilot Number Maximum Digit Length</t>
  </si>
  <si>
    <t>Step: Create a New Routing Policy</t>
  </si>
  <si>
    <t>SM uses this routing policy and its associated Dial Pattern to send calls to the AAC Conference Bridge when the dialed digits string matches the Dial Pattern.</t>
  </si>
  <si>
    <t>Select the appropriate Template Name for this endpoint:  ADVD</t>
  </si>
  <si>
    <r>
      <t xml:space="preserve">On DHCP form, click the  </t>
    </r>
    <r>
      <rPr>
        <b/>
        <sz val="11"/>
        <color indexed="8"/>
        <rFont val="Calibri"/>
        <family val="2"/>
      </rPr>
      <t>Enabled</t>
    </r>
    <r>
      <rPr>
        <sz val="11"/>
        <color theme="1"/>
        <rFont val="Calibri"/>
        <family val="2"/>
        <scheme val="minor"/>
      </rPr>
      <t xml:space="preserve"> radio button</t>
    </r>
  </si>
  <si>
    <t>Enabled (radio button)</t>
  </si>
  <si>
    <t>(click the Enabled radio button)</t>
  </si>
  <si>
    <t>Note: the DHCP Basic Settings section opens when you click the Enabled button.</t>
  </si>
  <si>
    <t>DHCP Pool IP address range (minimum value)</t>
  </si>
  <si>
    <r>
      <t xml:space="preserve">Enter </t>
    </r>
    <r>
      <rPr>
        <b/>
        <sz val="11"/>
        <color indexed="8"/>
        <rFont val="Calibri"/>
        <family val="2"/>
      </rPr>
      <t xml:space="preserve">DHCP Pool IP address range </t>
    </r>
    <r>
      <rPr>
        <sz val="11"/>
        <color theme="1"/>
        <rFont val="Calibri"/>
        <family val="2"/>
        <scheme val="minor"/>
      </rPr>
      <t>minimum value</t>
    </r>
  </si>
  <si>
    <r>
      <t xml:space="preserve">Enter </t>
    </r>
    <r>
      <rPr>
        <b/>
        <sz val="11"/>
        <color indexed="8"/>
        <rFont val="Calibri"/>
        <family val="2"/>
      </rPr>
      <t>DHCP Pool IP address range</t>
    </r>
    <r>
      <rPr>
        <sz val="11"/>
        <color theme="1"/>
        <rFont val="Calibri"/>
        <family val="2"/>
        <scheme val="minor"/>
      </rPr>
      <t xml:space="preserve"> maximum value</t>
    </r>
  </si>
  <si>
    <t>135.6.4.30</t>
  </si>
  <si>
    <t>135.6.4.80</t>
  </si>
  <si>
    <t>Note: These values are required only if you intend to use the ME Utility Server for DHCP, to provide IP addresses to the endpoints.</t>
  </si>
  <si>
    <t>Required Information for Endpoint  Configuration</t>
  </si>
  <si>
    <t>Note: A zero here means the field is left blank, i.e., do NOT enter the zero into the field.</t>
  </si>
  <si>
    <t>The DHCP Configuration Screen is Displayed (see note at right)</t>
  </si>
  <si>
    <t>If you do NOT intend to use the ME Utility Server's DHCP server to provide IP Addresses to your endpoints, then skip the next three lines.</t>
  </si>
  <si>
    <t xml:space="preserve">Note:  the dial plan length defines the standard length of extension digit strings. When you add endpoints following ME server configuration, the length of those endpoints' extensions must  match the dialplan length.  </t>
  </si>
  <si>
    <t>will be in the format, 00-CA-FE-87-16-58</t>
  </si>
  <si>
    <r>
      <t xml:space="preserve">Importing ABIT user file  </t>
    </r>
    <r>
      <rPr>
        <sz val="11"/>
        <color theme="1"/>
        <rFont val="Calibri"/>
        <family val="2"/>
        <scheme val="minor"/>
      </rPr>
      <t>If you added an ABIT user file into the wizard you will have a users.xml file in the smgr_import_files.zip file produced by the Installation Wizard. This section describes how to import that file. If you did not import an ABIT file into the wizard you can ignore this tab.</t>
    </r>
  </si>
  <si>
    <t>Recent Changes - Important!</t>
  </si>
  <si>
    <t>(text printed on label)</t>
  </si>
  <si>
    <r>
      <t xml:space="preserve">If the label </t>
    </r>
    <r>
      <rPr>
        <b/>
        <u/>
        <sz val="11"/>
        <rFont val="Calibri"/>
        <family val="2"/>
      </rPr>
      <t>IS</t>
    </r>
    <r>
      <rPr>
        <sz val="11"/>
        <rFont val="Calibri"/>
        <family val="2"/>
      </rPr>
      <t xml:space="preserve"> present, then  continue with the next step below.</t>
    </r>
  </si>
  <si>
    <t>Before the ME server is connected to the customer network, locate a computer that is already IP connected to the customer network.  Login to a CLI session on that computer.</t>
  </si>
  <si>
    <t>Login/Password:</t>
  </si>
  <si>
    <t>(Customer-supplied login credentials)</t>
  </si>
  <si>
    <t>Step: Confirm that DOM0 and CDOM IP Addresses are not already in use on the customer network (optional)</t>
  </si>
  <si>
    <t xml:space="preserve">Note: If CDOM or DOM0 IP address is already in use, the system will not operate properly, and CDOM may fail to start. </t>
  </si>
  <si>
    <t>(CLI Command Prompt)</t>
  </si>
  <si>
    <t>Confirm no response to the ping.</t>
  </si>
  <si>
    <t>Ping the IP address to be used for DOM0</t>
  </si>
  <si>
    <t>Ping the IP address to be used for CDOM</t>
  </si>
  <si>
    <t>Connect the customer LAN to LAN port 1 on the ME server rear panel (eth0), and power-up the ME server using the front-panel reset button.</t>
  </si>
  <si>
    <t>(Connect ME server to customer LAN, and power it up)</t>
  </si>
  <si>
    <t>Login as:/Password:</t>
  </si>
  <si>
    <r>
      <t xml:space="preserve">Enter </t>
    </r>
    <r>
      <rPr>
        <b/>
        <sz val="11"/>
        <color indexed="8"/>
        <rFont val="Calibri"/>
        <family val="2"/>
      </rPr>
      <t>su -</t>
    </r>
    <r>
      <rPr>
        <sz val="11"/>
        <color theme="1"/>
        <rFont val="Calibri"/>
        <family val="2"/>
        <scheme val="minor"/>
      </rPr>
      <t xml:space="preserve"> to be come root</t>
    </r>
  </si>
  <si>
    <t>(Command Prompt)</t>
  </si>
  <si>
    <t>su - (password is root01)</t>
  </si>
  <si>
    <t>xm list</t>
  </si>
  <si>
    <t>date</t>
  </si>
  <si>
    <t>cat /etc/hosts</t>
  </si>
  <si>
    <r>
      <t>Enter</t>
    </r>
    <r>
      <rPr>
        <b/>
        <sz val="11"/>
        <color indexed="8"/>
        <rFont val="Calibri"/>
        <family val="2"/>
      </rPr>
      <t xml:space="preserve"> xm list</t>
    </r>
    <r>
      <rPr>
        <sz val="11"/>
        <color theme="1"/>
        <rFont val="Calibri"/>
        <family val="2"/>
        <scheme val="minor"/>
      </rPr>
      <t>, confirm that both Domain-0 and udom appear in the listing.</t>
    </r>
  </si>
  <si>
    <r>
      <t xml:space="preserve">Enter </t>
    </r>
    <r>
      <rPr>
        <b/>
        <sz val="11"/>
        <color indexed="8"/>
        <rFont val="Calibri"/>
        <family val="2"/>
      </rPr>
      <t>date,</t>
    </r>
    <r>
      <rPr>
        <sz val="11"/>
        <color theme="1"/>
        <rFont val="Calibri"/>
        <family val="2"/>
        <scheme val="minor"/>
      </rPr>
      <t xml:space="preserve"> confirm that timezone is America/New York, and that the time-of-day is correct for that time zone.</t>
    </r>
  </si>
  <si>
    <t>https://192.168.1.2</t>
  </si>
  <si>
    <t>Login to CDOM</t>
  </si>
  <si>
    <t>(Navigational Panel)</t>
  </si>
  <si>
    <r>
      <t>Browse to</t>
    </r>
    <r>
      <rPr>
        <b/>
        <sz val="11"/>
        <color indexed="8"/>
        <rFont val="Calibri"/>
        <family val="2"/>
      </rPr>
      <t xml:space="preserve"> Server Management -&gt; Network Configuration</t>
    </r>
  </si>
  <si>
    <t>(Click Server Management, then Network Configuration)</t>
  </si>
  <si>
    <t>Wait seven (7) minutes, or until browser redirects to the CDOM login page.</t>
  </si>
  <si>
    <r>
      <rPr>
        <sz val="11"/>
        <rFont val="Calibri"/>
        <family val="2"/>
      </rPr>
      <t>Note:</t>
    </r>
    <r>
      <rPr>
        <b/>
        <sz val="11"/>
        <color indexed="10"/>
        <rFont val="Calibri"/>
        <family val="2"/>
      </rPr>
      <t xml:space="preserve"> </t>
    </r>
    <r>
      <rPr>
        <sz val="11"/>
        <color theme="1"/>
        <rFont val="Calibri"/>
        <family val="2"/>
        <scheme val="minor"/>
      </rPr>
      <t>Deal with untrusted host browser complaint, e.g., accept certificate, etc.</t>
    </r>
  </si>
  <si>
    <r>
      <t xml:space="preserve">Confirm that the network values in the </t>
    </r>
    <r>
      <rPr>
        <b/>
        <sz val="11"/>
        <color indexed="8"/>
        <rFont val="Calibri"/>
        <family val="2"/>
      </rPr>
      <t xml:space="preserve">General Network Settings </t>
    </r>
    <r>
      <rPr>
        <sz val="11"/>
        <color theme="1"/>
        <rFont val="Calibri"/>
        <family val="2"/>
        <scheme val="minor"/>
      </rPr>
      <t>and</t>
    </r>
    <r>
      <rPr>
        <b/>
        <sz val="11"/>
        <color indexed="8"/>
        <rFont val="Calibri"/>
        <family val="2"/>
      </rPr>
      <t xml:space="preserve"> Domain Network Interface</t>
    </r>
    <r>
      <rPr>
        <sz val="11"/>
        <color theme="1"/>
        <rFont val="Calibri"/>
        <family val="2"/>
        <scheme val="minor"/>
      </rPr>
      <t xml:space="preserve"> sections are now correct for your customer site.</t>
    </r>
  </si>
  <si>
    <r>
      <t>Browse to</t>
    </r>
    <r>
      <rPr>
        <b/>
        <sz val="11"/>
        <color indexed="8"/>
        <rFont val="Calibri"/>
        <family val="2"/>
      </rPr>
      <t xml:space="preserve"> Server Management -&gt; Date/Time Configuration</t>
    </r>
  </si>
  <si>
    <t>(Click Server Management, then Date/Time Configuration)</t>
  </si>
  <si>
    <r>
      <t xml:space="preserve">Click the small calendar icon to the right of the displayed date and time in the </t>
    </r>
    <r>
      <rPr>
        <b/>
        <sz val="11"/>
        <color indexed="8"/>
        <rFont val="Calibri"/>
        <family val="2"/>
      </rPr>
      <t>Set Date and Time</t>
    </r>
    <r>
      <rPr>
        <sz val="11"/>
        <color theme="1"/>
        <rFont val="Calibri"/>
        <family val="2"/>
        <scheme val="minor"/>
      </rPr>
      <t xml:space="preserve"> section</t>
    </r>
  </si>
  <si>
    <t>(Calendar Icon)</t>
  </si>
  <si>
    <t>(Click on the Calendar Icon)</t>
  </si>
  <si>
    <t>Note: A Calendar and time-of-day dialogue box opens.</t>
  </si>
  <si>
    <t>Note: A time-of-day dialogue box opens.</t>
  </si>
  <si>
    <t>Select the correct month and day in the calendar dialogue box</t>
  </si>
  <si>
    <t>(Calendar Dialogue Box)</t>
  </si>
  <si>
    <t>(Use left/right arrows to select the correct month and year, then click on the day of the month)</t>
  </si>
  <si>
    <t>(Click the displayed time-of-day)</t>
  </si>
  <si>
    <t>(Time-of-day Display inside Calendar Dialogue Box, located between "Clean" and "Today" controls)</t>
  </si>
  <si>
    <t>Use the up/down arrow controls to set the hour and minute</t>
  </si>
  <si>
    <t>(Time-of-Day Dialogue Box)</t>
  </si>
  <si>
    <t>(Select the correct hour and minute)</t>
  </si>
  <si>
    <t>(Click the OK button)</t>
  </si>
  <si>
    <t>Apply (Button)</t>
  </si>
  <si>
    <t>(Click the Apply button)</t>
  </si>
  <si>
    <t>Click on the time display located on the bottom line of the calendar dialogue box (hour:minute).</t>
  </si>
  <si>
    <t>Time Server:</t>
  </si>
  <si>
    <r>
      <t xml:space="preserve">Confirm that the NTP server FQDN or IP address now appears in the </t>
    </r>
    <r>
      <rPr>
        <b/>
        <sz val="11"/>
        <color indexed="8"/>
        <rFont val="Calibri"/>
        <family val="2"/>
      </rPr>
      <t>Added Servers:</t>
    </r>
    <r>
      <rPr>
        <sz val="11"/>
        <color theme="1"/>
        <rFont val="Calibri"/>
        <family val="2"/>
        <scheme val="minor"/>
      </rPr>
      <t xml:space="preserve"> list</t>
    </r>
  </si>
  <si>
    <t>Added Servers: (list)</t>
  </si>
  <si>
    <t>Note: The browser displays a "System Platform is restarting" message, instructing you to wait 5 minutes before attempting to re-login after the browser automatically redirects to the login page.</t>
  </si>
  <si>
    <t>Confirm that the displayed date, time, and time zone are correct</t>
  </si>
  <si>
    <t>(Confirm correct values for your location)</t>
  </si>
  <si>
    <t>(NTPD line in the status display box at the top of the page)</t>
  </si>
  <si>
    <t>NTPD is running.</t>
  </si>
  <si>
    <t>Local Time: (in the status display box at the top of the page)</t>
  </si>
  <si>
    <t>Template DVD File Set and Standalone Wizard</t>
  </si>
  <si>
    <t xml:space="preserve">Certain configuration values do not appear on the Configuration Data worksheet, e.g., some passwords, System Manager entity names, and the like. This is because we have selected those values to streamline the installation process, and we don't want you modifying them, at least not until you have the basic configuration up and running. </t>
  </si>
  <si>
    <t>(click Save File button, then click OK)</t>
  </si>
  <si>
    <r>
      <t xml:space="preserve">Note: On server power-up, the </t>
    </r>
    <r>
      <rPr>
        <b/>
        <sz val="11"/>
        <rFont val="Calibri"/>
        <family val="2"/>
      </rPr>
      <t xml:space="preserve">xm list </t>
    </r>
    <r>
      <rPr>
        <b/>
        <sz val="11"/>
        <color indexed="10"/>
        <rFont val="Calibri"/>
        <family val="2"/>
      </rPr>
      <t xml:space="preserve">command will not produce the desired output until 2-3 minutes after the server begins responding to pings on 192.11.13.6.  If, instead of the expected output, you get the error message,
</t>
    </r>
    <r>
      <rPr>
        <b/>
        <sz val="11"/>
        <rFont val="Calibri"/>
        <family val="2"/>
      </rPr>
      <t>Error: Unable to connect to xend: No such file or directory. Is xend running?</t>
    </r>
    <r>
      <rPr>
        <b/>
        <sz val="11"/>
        <color indexed="10"/>
        <rFont val="Calibri"/>
        <family val="2"/>
      </rPr>
      <t xml:space="preserve">
wait 2 minutes and try again.</t>
    </r>
  </si>
  <si>
    <t>Note:  You will set the correct date/time later in the procedure.   This is just a check to confirm that the server was factory-configured properly and is maintaining the correct time.</t>
  </si>
  <si>
    <t>Note: If the browser does not redirect to the CDOM login page within 7 minutes, enter the CDOM URL manually in the browser to proceed.</t>
  </si>
  <si>
    <r>
      <t xml:space="preserve">Note: record the passwords for future reference.  </t>
    </r>
    <r>
      <rPr>
        <b/>
        <sz val="11"/>
        <color indexed="10"/>
        <rFont val="Calibri"/>
        <family val="2"/>
      </rPr>
      <t>Only uppercase and lowercase letters and the numerals 0-9 are valid characters for this password.</t>
    </r>
  </si>
  <si>
    <r>
      <t xml:space="preserve">Note: record the passwords for future reference. </t>
    </r>
    <r>
      <rPr>
        <b/>
        <sz val="11"/>
        <color indexed="10"/>
        <rFont val="Calibri"/>
        <family val="2"/>
      </rPr>
      <t xml:space="preserve"> Only uppercase and lowercase letters and the numerals 0-9 are valid characters for this password.</t>
    </r>
  </si>
  <si>
    <t>Step: Copy ME Template files from DVDs to Server Hard Drive</t>
  </si>
  <si>
    <r>
      <t xml:space="preserve">May take 30 minutes. DO NOT click </t>
    </r>
    <r>
      <rPr>
        <b/>
        <sz val="11"/>
        <rFont val="Calibri"/>
        <family val="2"/>
      </rPr>
      <t>Finalize copy</t>
    </r>
    <r>
      <rPr>
        <sz val="11"/>
        <rFont val="Calibri"/>
        <family val="2"/>
      </rPr>
      <t xml:space="preserve"> yet </t>
    </r>
  </si>
  <si>
    <t>Confirm that DVD/CD list box at bottom of the page contains 3 DVD names</t>
  </si>
  <si>
    <t>More information on ABIT and importing Users is provided in the standard installation documentation for Midsize Enterprise on http://support.avaya.com</t>
  </si>
  <si>
    <t>Check Voicemail language is correct.  If it is not, select the required language from the drop-down list.</t>
  </si>
  <si>
    <r>
      <t xml:space="preserve">NOTE: migrations from MBT should select </t>
    </r>
    <r>
      <rPr>
        <b/>
        <sz val="11"/>
        <color indexed="8"/>
        <rFont val="Calibri"/>
        <family val="2"/>
      </rPr>
      <t>H323 CMM</t>
    </r>
    <r>
      <rPr>
        <sz val="11"/>
        <color theme="1"/>
        <rFont val="Calibri"/>
        <family val="2"/>
        <scheme val="minor"/>
      </rPr>
      <t xml:space="preserve"> integration type</t>
    </r>
  </si>
  <si>
    <r>
      <t xml:space="preserve">Due to size and number of virtual machines and the amount of configuration performed by the post-install scripts, installation typically requires  2-3 hours.
</t>
    </r>
    <r>
      <rPr>
        <b/>
        <u/>
        <sz val="11"/>
        <color indexed="10"/>
        <rFont val="Calibri"/>
        <family val="2"/>
      </rPr>
      <t>Important Note</t>
    </r>
    <r>
      <rPr>
        <sz val="11"/>
        <color theme="1"/>
        <rFont val="Calibri"/>
        <family val="2"/>
        <scheme val="minor"/>
      </rPr>
      <t xml:space="preserve">: When the template install is complete, check the template install progress message output lines to ensure that all the template installation steps were successful.   If you discover that you can no longer see the template install progress display, (because too much time has elapsed or you logged out and back  in,) you can still access it in your cdom browser session by navigating to </t>
    </r>
    <r>
      <rPr>
        <b/>
        <sz val="11"/>
        <color indexed="8"/>
        <rFont val="Calibri"/>
        <family val="2"/>
      </rPr>
      <t>Virtual Machine Management -&gt; View Install/Upgrade Log</t>
    </r>
    <r>
      <rPr>
        <sz val="11"/>
        <color indexed="8"/>
        <rFont val="Calibri"/>
        <family val="2"/>
      </rPr>
      <t>.  If the installation completed with warnings or errors, you must clear the source of the issue(s) or else reinstall System Platform and the ME Template.</t>
    </r>
  </si>
  <si>
    <t>services virtual machine IP address</t>
  </si>
  <si>
    <t>135.6.4.72</t>
  </si>
  <si>
    <t>services virtual machine FQDN</t>
  </si>
  <si>
    <t>mojome1-svm.dr.avaya.com</t>
  </si>
  <si>
    <r>
      <t xml:space="preserve">Select </t>
    </r>
    <r>
      <rPr>
        <b/>
        <sz val="11"/>
        <color indexed="8"/>
        <rFont val="Calibri"/>
        <family val="2"/>
      </rPr>
      <t>Save File</t>
    </r>
    <r>
      <rPr>
        <sz val="11"/>
        <color theme="1"/>
        <rFont val="Calibri"/>
        <family val="2"/>
        <scheme val="minor"/>
      </rPr>
      <t xml:space="preserve"> in the Windows Opening dialog, and click OK</t>
    </r>
  </si>
  <si>
    <t xml:space="preserve">Repeat the above PLDS download steps for the ME Template DVD #1 of 3 .iso file </t>
  </si>
  <si>
    <t>Repeat the PLDS download steps for the ME Template DVD #2 of 3 .iso file</t>
  </si>
  <si>
    <t>Repeat the PLDS download steps for the ME Template DVD #3 of 3 .iso file</t>
  </si>
  <si>
    <t>Repeat the PLDS download steps for the ME Standalone Installation Wizard</t>
  </si>
  <si>
    <t>Note: This step is optional if you already have the ME Standalone Wizard file on your PC.</t>
  </si>
  <si>
    <t>Note: This step is optional if you already have the System Platform installation disc.  However, the procedure described here is also used for all the other software downloads mentioned below.</t>
  </si>
  <si>
    <t>Leave IP v6 unchecked</t>
  </si>
  <si>
    <t>Enable Services Virtual Machine</t>
  </si>
  <si>
    <t>Enable Services VM</t>
  </si>
  <si>
    <r>
      <t xml:space="preserve">Select </t>
    </r>
    <r>
      <rPr>
        <b/>
        <sz val="11"/>
        <color indexed="8"/>
        <rFont val="Calibri"/>
        <family val="2"/>
      </rPr>
      <t>Templates</t>
    </r>
  </si>
  <si>
    <r>
      <t xml:space="preserve">Click the </t>
    </r>
    <r>
      <rPr>
        <b/>
        <sz val="11"/>
        <color theme="1"/>
        <rFont val="Calibri"/>
        <family val="2"/>
        <scheme val="minor"/>
      </rPr>
      <t>Install</t>
    </r>
    <r>
      <rPr>
        <sz val="11"/>
        <color theme="1"/>
        <rFont val="Calibri"/>
        <family val="2"/>
        <scheme val="minor"/>
      </rPr>
      <t xml:space="preserve"> button </t>
    </r>
  </si>
  <si>
    <t>Templates</t>
  </si>
  <si>
    <t>User Name Prefix</t>
  </si>
  <si>
    <t>Authentication Protocol Password</t>
  </si>
  <si>
    <t>Privacy Protocol Password</t>
  </si>
  <si>
    <t>Click the Next Step link</t>
  </si>
  <si>
    <t>Burn a DVD using the ME Template 3060 1-of-3 .iso image.</t>
  </si>
  <si>
    <t>Burn a DVD using the ME Template 3060 2-of-3 .iso image.</t>
  </si>
  <si>
    <t>Burn a DVD using the ME Template 3060 3-of-3 .iso image.</t>
  </si>
  <si>
    <t>Enter a user name prefix for SNMP</t>
  </si>
  <si>
    <t>Enter an authentication protocol password</t>
  </si>
  <si>
    <t>Enter a privacy protocol password</t>
  </si>
  <si>
    <t>SNMP User name prefix</t>
  </si>
  <si>
    <t>SNMP Authentication protocol password</t>
  </si>
  <si>
    <t>SNMP Privacy protocol password</t>
  </si>
  <si>
    <t>snmpuser</t>
  </si>
  <si>
    <t>avaya123</t>
  </si>
  <si>
    <r>
      <t xml:space="preserve">Confirm Session Manager is listed in the </t>
    </r>
    <r>
      <rPr>
        <b/>
        <sz val="11"/>
        <color theme="1"/>
        <rFont val="Calibri"/>
        <family val="2"/>
        <scheme val="minor"/>
      </rPr>
      <t>Session Manager Instances</t>
    </r>
    <r>
      <rPr>
        <sz val="11"/>
        <color theme="1"/>
        <rFont val="Calibri"/>
        <family val="2"/>
        <scheme val="minor"/>
      </rPr>
      <t xml:space="preserve"> table</t>
    </r>
  </si>
  <si>
    <t>Session Manager Instances</t>
  </si>
  <si>
    <r>
      <t xml:space="preserve">If the </t>
    </r>
    <r>
      <rPr>
        <b/>
        <sz val="11"/>
        <color indexed="8"/>
        <rFont val="Calibri"/>
        <family val="2"/>
      </rPr>
      <t>Tests Pass</t>
    </r>
    <r>
      <rPr>
        <sz val="11"/>
        <color theme="1"/>
        <rFont val="Calibri"/>
        <family val="2"/>
        <scheme val="minor"/>
      </rPr>
      <t xml:space="preserve"> column continues to show a red circle with an "X":
1- Click on </t>
    </r>
    <r>
      <rPr>
        <b/>
        <sz val="11"/>
        <color indexed="8"/>
        <rFont val="Calibri"/>
        <family val="2"/>
      </rPr>
      <t>the red circle with an "X"</t>
    </r>
    <r>
      <rPr>
        <sz val="11"/>
        <color theme="1"/>
        <rFont val="Calibri"/>
        <family val="2"/>
        <scheme val="minor"/>
      </rPr>
      <t xml:space="preserve"> in the </t>
    </r>
    <r>
      <rPr>
        <b/>
        <sz val="11"/>
        <color indexed="8"/>
        <rFont val="Calibri"/>
        <family val="2"/>
      </rPr>
      <t>Tests Pass</t>
    </r>
    <r>
      <rPr>
        <sz val="11"/>
        <color theme="1"/>
        <rFont val="Calibri"/>
        <family val="2"/>
        <scheme val="minor"/>
      </rPr>
      <t xml:space="preserve"> column.
2 - Select your Session Manager in the </t>
    </r>
    <r>
      <rPr>
        <b/>
        <sz val="11"/>
        <color indexed="8"/>
        <rFont val="Calibri"/>
        <family val="2"/>
      </rPr>
      <t>Select Target…</t>
    </r>
    <r>
      <rPr>
        <sz val="11"/>
        <color theme="1"/>
        <rFont val="Calibri"/>
        <family val="2"/>
        <scheme val="minor"/>
      </rPr>
      <t xml:space="preserve"> drop-down box.
3 - Click the </t>
    </r>
    <r>
      <rPr>
        <b/>
        <sz val="11"/>
        <color indexed="8"/>
        <rFont val="Calibri"/>
        <family val="2"/>
      </rPr>
      <t>Execute All Tests</t>
    </r>
    <r>
      <rPr>
        <sz val="11"/>
        <color theme="1"/>
        <rFont val="Calibri"/>
        <family val="2"/>
        <scheme val="minor"/>
      </rPr>
      <t xml:space="preserve"> button.
4 - Confirm that all tests pass.
5 - Navigate back to the Session Manager Dashboard.
6 - Wait one minute, then click the </t>
    </r>
    <r>
      <rPr>
        <b/>
        <sz val="11"/>
        <color indexed="8"/>
        <rFont val="Calibri"/>
        <family val="2"/>
      </rPr>
      <t>Refresh</t>
    </r>
    <r>
      <rPr>
        <sz val="11"/>
        <color theme="1"/>
        <rFont val="Calibri"/>
        <family val="2"/>
        <scheme val="minor"/>
      </rPr>
      <t xml:space="preserve"> button.  Repeat if necessary.
7 - Eventually, a green checkmark appears in the </t>
    </r>
    <r>
      <rPr>
        <b/>
        <sz val="11"/>
        <color indexed="8"/>
        <rFont val="Calibri"/>
        <family val="2"/>
      </rPr>
      <t>Tests Pass</t>
    </r>
    <r>
      <rPr>
        <sz val="11"/>
        <color theme="1"/>
        <rFont val="Calibri"/>
        <family val="2"/>
        <scheme val="minor"/>
      </rPr>
      <t xml:space="preserve"> column, 
      and the </t>
    </r>
    <r>
      <rPr>
        <b/>
        <sz val="11"/>
        <color indexed="8"/>
        <rFont val="Calibri"/>
        <family val="2"/>
      </rPr>
      <t>Service State</t>
    </r>
    <r>
      <rPr>
        <sz val="11"/>
        <color theme="1"/>
        <rFont val="Calibri"/>
        <family val="2"/>
        <scheme val="minor"/>
      </rPr>
      <t xml:space="preserve"> column shows </t>
    </r>
    <r>
      <rPr>
        <b/>
        <sz val="11"/>
        <color indexed="10"/>
        <rFont val="Calibri"/>
        <family val="2"/>
      </rPr>
      <t>Deny New Service</t>
    </r>
    <r>
      <rPr>
        <sz val="11"/>
        <color theme="1"/>
        <rFont val="Calibri"/>
        <family val="2"/>
        <scheme val="minor"/>
      </rPr>
      <t>.</t>
    </r>
  </si>
  <si>
    <t>Click the check box for the Session Manager entry</t>
  </si>
  <si>
    <t>(check box next to SessionManagers_6.2)</t>
  </si>
  <si>
    <r>
      <rPr>
        <sz val="11"/>
        <color indexed="8"/>
        <rFont val="Calibri"/>
        <family val="2"/>
      </rPr>
      <t>Navigate to</t>
    </r>
    <r>
      <rPr>
        <b/>
        <sz val="11"/>
        <color indexed="8"/>
        <rFont val="Calibri"/>
        <family val="2"/>
      </rPr>
      <t xml:space="preserve"> Session Manager -&gt; Application Configuration -&gt; Applications</t>
    </r>
    <r>
      <rPr>
        <sz val="11"/>
        <color theme="1"/>
        <rFont val="Calibri"/>
        <family val="2"/>
        <scheme val="minor"/>
      </rPr>
      <t xml:space="preserve"> </t>
    </r>
  </si>
  <si>
    <t xml:space="preserve">Applications (left hand menu) </t>
  </si>
  <si>
    <t>(navigate)</t>
  </si>
  <si>
    <t>Application Name</t>
  </si>
  <si>
    <t>(observe hostnames of apps)</t>
  </si>
  <si>
    <t>At the password prompt, enter password root</t>
  </si>
  <si>
    <t>The Media Gateway has an initial default password of root. If the default does not work, try  rootroot0, rootroot, root01, h248root.</t>
  </si>
  <si>
    <t>You will be prompted to change the default password. At the prompt, configure a new password</t>
  </si>
  <si>
    <t>ME 6.2 PreInstallation Wizard Download Pub ID</t>
  </si>
  <si>
    <t xml:space="preserve">The software downloads shown in this section were the latest available versions at the time this workbook was prepared. </t>
  </si>
  <si>
    <t>Accept defaults for AES</t>
  </si>
  <si>
    <t>Leave AES fields blank</t>
  </si>
  <si>
    <r>
      <t xml:space="preserve">Click the </t>
    </r>
    <r>
      <rPr>
        <b/>
        <sz val="11"/>
        <color indexed="8"/>
        <rFont val="Calibri"/>
        <family val="2"/>
      </rPr>
      <t>Download xml files</t>
    </r>
    <r>
      <rPr>
        <sz val="11"/>
        <color theme="1"/>
        <rFont val="Calibri"/>
        <family val="2"/>
        <scheme val="minor"/>
      </rPr>
      <t xml:space="preserve"> button</t>
    </r>
  </si>
  <si>
    <t>Download xml files (button)</t>
  </si>
  <si>
    <t>The XML files contain preconfiguration values generated by the Installation Wizard.  They are used later to speed up SMGR configuration.</t>
  </si>
  <si>
    <t>Select a location on your PC to save the xml files zip file</t>
  </si>
  <si>
    <t>File name:</t>
  </si>
  <si>
    <t>(select location, save file)</t>
  </si>
  <si>
    <t>Step:  Import SMGR XML files</t>
  </si>
  <si>
    <t xml:space="preserve">On your PC, locate the zip file that you exported during the template install dialogue. </t>
  </si>
  <si>
    <t>Use Winzip to unzip the import files zipfile into a temporary directory.</t>
  </si>
  <si>
    <t>More Actions (menu)</t>
  </si>
  <si>
    <t>Import</t>
  </si>
  <si>
    <t>Select File</t>
  </si>
  <si>
    <t>RTSElements.xml</t>
  </si>
  <si>
    <t>Run immediately (radio button)</t>
  </si>
  <si>
    <t>% Complete</t>
  </si>
  <si>
    <r>
      <t xml:space="preserve">Navigate to  </t>
    </r>
    <r>
      <rPr>
        <b/>
        <sz val="11"/>
        <color indexed="8"/>
        <rFont val="Calibri"/>
        <family val="2"/>
      </rPr>
      <t>Domains</t>
    </r>
  </si>
  <si>
    <t>Domains(link)</t>
  </si>
  <si>
    <t>(click Domains link)</t>
  </si>
  <si>
    <t>Locations(link)</t>
  </si>
  <si>
    <t>(click Locations link)</t>
  </si>
  <si>
    <t>New(button)</t>
  </si>
  <si>
    <r>
      <t xml:space="preserve">In the </t>
    </r>
    <r>
      <rPr>
        <b/>
        <sz val="11"/>
        <color theme="1"/>
        <rFont val="Calibri"/>
        <family val="2"/>
        <scheme val="minor"/>
      </rPr>
      <t>Elements</t>
    </r>
    <r>
      <rPr>
        <sz val="11"/>
        <color theme="1"/>
        <rFont val="Calibri"/>
        <family val="2"/>
        <scheme val="minor"/>
      </rPr>
      <t xml:space="preserve"> column, navigate to </t>
    </r>
    <r>
      <rPr>
        <b/>
        <sz val="11"/>
        <color indexed="8"/>
        <rFont val="Calibri"/>
        <family val="2"/>
      </rPr>
      <t>Session Manager -&gt; Dashboard</t>
    </r>
  </si>
  <si>
    <t xml:space="preserve">Note: ME generally has multiple licenses, one for each product/feature being used. Please install each license, one at a time using, these steps. </t>
  </si>
  <si>
    <t xml:space="preserve">You will require eleven (11) static IP addresses: ten (10) for the virtual appliances (VAs or VMs) in the server and one (1) for the required H.248 Media Gateway. (Note: you may elect to use a G650 port network instead of an H.248 Media Gateway for media resources - if you do, then you will require additional IP addresses.) The ten (10) VA IP addresses must all be on the same subnet.  The H.248 Media Gateway IP address must be reachable from that subnet.  You will also require an IP address for each of your endpoints.  Endpoint addresses may be assigned statically or via DHCP.  </t>
  </si>
  <si>
    <t>Presence Router Service Name</t>
  </si>
  <si>
    <t>pres.ips.avaya.com</t>
  </si>
  <si>
    <t>Enter the Presence Router Service Name</t>
  </si>
  <si>
    <t>ROUTER_SERVICE_NAME:</t>
  </si>
  <si>
    <t>The default of pres.ips.avaya.com will be present. It is ok to leave this default, as the value is only used internally to Presence Services.</t>
  </si>
  <si>
    <t>login with username/password</t>
  </si>
  <si>
    <t>RTSElements.xml (and if ABIT user import is used users.xml)</t>
  </si>
  <si>
    <t>A</t>
  </si>
  <si>
    <t>Commit</t>
  </si>
  <si>
    <t>(click Commit button)</t>
  </si>
  <si>
    <t>Delete</t>
  </si>
  <si>
    <t>Press Enter when prompted to continue</t>
  </si>
  <si>
    <t>(Press Enter on keyboard)</t>
  </si>
  <si>
    <r>
      <t xml:space="preserve">Click checkbox next to </t>
    </r>
    <r>
      <rPr>
        <b/>
        <sz val="11"/>
        <color theme="1"/>
        <rFont val="Calibri"/>
        <family val="2"/>
        <scheme val="minor"/>
      </rPr>
      <t xml:space="preserve">CM </t>
    </r>
    <r>
      <rPr>
        <b/>
        <sz val="11"/>
        <color indexed="8"/>
        <rFont val="Calibri"/>
        <family val="2"/>
      </rPr>
      <t>Endpoint Profile</t>
    </r>
    <r>
      <rPr>
        <sz val="11"/>
        <color theme="1"/>
        <rFont val="Calibri"/>
        <family val="2"/>
        <scheme val="minor"/>
      </rPr>
      <t xml:space="preserve"> to open sub-section</t>
    </r>
  </si>
  <si>
    <t>CM Endpoint Profile</t>
  </si>
  <si>
    <t>(click CM Endpoint Profile checkbox)</t>
  </si>
  <si>
    <r>
      <t xml:space="preserve">Confirm that the checkbox next to the </t>
    </r>
    <r>
      <rPr>
        <b/>
        <sz val="11"/>
        <color theme="1"/>
        <rFont val="Calibri"/>
        <family val="2"/>
        <scheme val="minor"/>
      </rPr>
      <t xml:space="preserve">CM </t>
    </r>
    <r>
      <rPr>
        <b/>
        <sz val="11"/>
        <color indexed="8"/>
        <rFont val="Calibri"/>
        <family val="2"/>
      </rPr>
      <t>Endpoint Profile</t>
    </r>
    <r>
      <rPr>
        <sz val="11"/>
        <color theme="1"/>
        <rFont val="Calibri"/>
        <family val="2"/>
        <scheme val="minor"/>
      </rPr>
      <t xml:space="preserve"> section title is still checked.</t>
    </r>
  </si>
  <si>
    <t>CM Endpoint Profile (Checkbox)</t>
  </si>
  <si>
    <r>
      <t xml:space="preserve">Note: This worksheet is only for ME HA systems. If you do not have an HA system, please continue to </t>
    </r>
    <r>
      <rPr>
        <b/>
        <sz val="11"/>
        <color theme="1"/>
        <rFont val="Calibri"/>
        <family val="2"/>
        <scheme val="minor"/>
      </rPr>
      <t>License the System (PLDS)</t>
    </r>
  </si>
  <si>
    <t>(Use the worksheet to install/configure the standby server.)</t>
  </si>
  <si>
    <r>
      <t xml:space="preserve">Note: If completing this page for the HA standby server, this step is not necessary. Proceed back to </t>
    </r>
    <r>
      <rPr>
        <b/>
        <sz val="11"/>
        <color theme="1"/>
        <rFont val="Calibri"/>
        <family val="2"/>
        <scheme val="minor"/>
      </rPr>
      <t>Configure High Availability</t>
    </r>
    <r>
      <rPr>
        <sz val="11"/>
        <color theme="1"/>
        <rFont val="Calibri"/>
        <family val="2"/>
        <scheme val="minor"/>
      </rPr>
      <t xml:space="preserve"> worksheet.</t>
    </r>
  </si>
  <si>
    <r>
      <rPr>
        <sz val="11"/>
        <rFont val="Calibri"/>
        <family val="2"/>
        <scheme val="minor"/>
      </rPr>
      <t xml:space="preserve">(Use the standby information from </t>
    </r>
    <r>
      <rPr>
        <b/>
        <sz val="11"/>
        <rFont val="Calibri"/>
        <family val="2"/>
        <scheme val="minor"/>
      </rPr>
      <t>Configuration Data</t>
    </r>
    <r>
      <rPr>
        <sz val="11"/>
        <rFont val="Calibri"/>
        <family val="2"/>
        <scheme val="minor"/>
      </rPr>
      <t xml:space="preserve"> worksheet</t>
    </r>
    <r>
      <rPr>
        <b/>
        <sz val="11"/>
        <rFont val="Calibri"/>
        <family val="2"/>
        <scheme val="minor"/>
      </rPr>
      <t xml:space="preserve"> </t>
    </r>
    <r>
      <rPr>
        <sz val="11"/>
        <rFont val="Calibri"/>
        <family val="2"/>
        <scheme val="minor"/>
      </rPr>
      <t xml:space="preserve">under the </t>
    </r>
    <r>
      <rPr>
        <sz val="11"/>
        <color rgb="FFFF0000"/>
        <rFont val="Calibri"/>
        <family val="2"/>
        <scheme val="minor"/>
      </rPr>
      <t>Required Info for High Availability standby installation</t>
    </r>
    <r>
      <rPr>
        <sz val="11"/>
        <rFont val="Calibri"/>
        <family val="2"/>
        <scheme val="minor"/>
      </rPr>
      <t xml:space="preserve"> section)</t>
    </r>
  </si>
  <si>
    <t>mojome1-ha-dom0.dr.avaya.com</t>
  </si>
  <si>
    <t>mojome1-ha-cdom.dr.avaya.com</t>
  </si>
  <si>
    <r>
      <t xml:space="preserve">Note: This section is only used if installing an HA system. If not installing an HA system, please proceed to </t>
    </r>
    <r>
      <rPr>
        <b/>
        <sz val="11"/>
        <color rgb="FFFF0000"/>
        <rFont val="Calibri"/>
        <family val="2"/>
        <scheme val="minor"/>
      </rPr>
      <t>Required Information for ME Template Installation</t>
    </r>
  </si>
  <si>
    <t>Accept the warning to continue</t>
  </si>
  <si>
    <t>Accept the save button warning to continue</t>
  </si>
  <si>
    <t>It may take a while to come back up, wait for Settings Updated Successfully message.</t>
  </si>
  <si>
    <r>
      <t xml:space="preserve">From the left side menu, select </t>
    </r>
    <r>
      <rPr>
        <b/>
        <sz val="11"/>
        <color theme="1"/>
        <rFont val="Calibri"/>
        <family val="2"/>
        <scheme val="minor"/>
      </rPr>
      <t>Server Management</t>
    </r>
    <r>
      <rPr>
        <sz val="11"/>
        <color theme="1"/>
        <rFont val="Calibri"/>
        <family val="2"/>
        <scheme val="minor"/>
      </rPr>
      <t xml:space="preserve"> -&gt; </t>
    </r>
    <r>
      <rPr>
        <b/>
        <sz val="11"/>
        <color theme="1"/>
        <rFont val="Calibri"/>
        <family val="2"/>
        <scheme val="minor"/>
      </rPr>
      <t>Network Configuration</t>
    </r>
  </si>
  <si>
    <r>
      <rPr>
        <b/>
        <sz val="11"/>
        <color theme="1"/>
        <rFont val="Calibri"/>
        <family val="2"/>
        <scheme val="minor"/>
      </rPr>
      <t>Under Templates - ServicesVM</t>
    </r>
    <r>
      <rPr>
        <sz val="11"/>
        <color theme="1"/>
        <rFont val="Calibri"/>
        <family val="2"/>
        <scheme val="minor"/>
      </rPr>
      <t>, disable the services VM</t>
    </r>
  </si>
  <si>
    <t>Network Configuration</t>
  </si>
  <si>
    <t>(uncheck the checkbox)</t>
  </si>
  <si>
    <t>OK</t>
  </si>
  <si>
    <r>
      <t xml:space="preserve">Click </t>
    </r>
    <r>
      <rPr>
        <b/>
        <sz val="11"/>
        <rFont val="Calibri"/>
        <family val="2"/>
        <scheme val="minor"/>
      </rPr>
      <t>Delete</t>
    </r>
    <r>
      <rPr>
        <sz val="11"/>
        <rFont val="Calibri"/>
        <family val="2"/>
        <scheme val="minor"/>
      </rPr>
      <t xml:space="preserve"> link on the current SNMP trap</t>
    </r>
  </si>
  <si>
    <r>
      <t xml:space="preserve">Note: If the Services VM was not installed during the System Platform installation, please proceed to </t>
    </r>
    <r>
      <rPr>
        <b/>
        <sz val="11"/>
        <color rgb="FFFF0000"/>
        <rFont val="Calibri"/>
        <family val="2"/>
        <scheme val="minor"/>
      </rPr>
      <t>Step: Change SNMP trap information on the standby.</t>
    </r>
  </si>
  <si>
    <t>Note: If you just deleted the old SNMP Trap, you are already on the correct page.</t>
  </si>
  <si>
    <t>IP Address</t>
  </si>
  <si>
    <t>Community</t>
  </si>
  <si>
    <t>public</t>
  </si>
  <si>
    <t>Device Type</t>
  </si>
  <si>
    <t>INADS</t>
  </si>
  <si>
    <t>Notify Type</t>
  </si>
  <si>
    <t>TRAP</t>
  </si>
  <si>
    <t>Protocol Version</t>
  </si>
  <si>
    <t>V2c</t>
  </si>
  <si>
    <t>Choose the Device Type</t>
  </si>
  <si>
    <t>Choose the Notify Type</t>
  </si>
  <si>
    <t>Choose the Protocol Version</t>
  </si>
  <si>
    <t>Enter the Port to send SNMP traps</t>
  </si>
  <si>
    <t>Enter the Community</t>
  </si>
  <si>
    <t>High Availability</t>
  </si>
  <si>
    <t>Access the High Availability configuration form</t>
  </si>
  <si>
    <t>Configure HA</t>
  </si>
  <si>
    <t>Enter the IP address of the Services VM on the main server</t>
  </si>
  <si>
    <t>Use browser to access the Console Domain on the main server.</t>
  </si>
  <si>
    <t>Enter  the admin password for the main server</t>
  </si>
  <si>
    <t>Enter the IP address of the standby server's console domain</t>
  </si>
  <si>
    <t>Remote cdom IP address:</t>
  </si>
  <si>
    <t>Remote cdom user name:</t>
  </si>
  <si>
    <r>
      <t xml:space="preserve">Select </t>
    </r>
    <r>
      <rPr>
        <b/>
        <sz val="11"/>
        <color theme="1"/>
        <rFont val="Calibri"/>
        <family val="2"/>
        <scheme val="minor"/>
      </rPr>
      <t xml:space="preserve">admin </t>
    </r>
    <r>
      <rPr>
        <sz val="11"/>
        <color theme="1"/>
        <rFont val="Calibri"/>
        <family val="2"/>
        <scheme val="minor"/>
      </rPr>
      <t>as the remote console domain user</t>
    </r>
  </si>
  <si>
    <t>Enter the password of the admin account on the standby server</t>
  </si>
  <si>
    <t>Remote cdom password:</t>
  </si>
  <si>
    <t>Select crossover network interface which is connected directly to the standby server</t>
  </si>
  <si>
    <t>Crossover network interface:</t>
  </si>
  <si>
    <t>eth2 - 1 Gb/sec</t>
  </si>
  <si>
    <t>Note: ME HA is traditionally connected through Ethernet port 2. If you have configured this differently, select the correct port from the drop down menu.</t>
  </si>
  <si>
    <t>Create the HA connection</t>
  </si>
  <si>
    <t>Create</t>
  </si>
  <si>
    <t xml:space="preserve">Note: Creating the HA connection can take some time. Please wait for the web console to complete processing. </t>
  </si>
  <si>
    <t xml:space="preserve">When the web console returns, you will see HA status for the machine. Start HA to begin the synchronization of the virtual machines. </t>
  </si>
  <si>
    <t>Start HA</t>
  </si>
  <si>
    <r>
      <t xml:space="preserve">Once the synchronization has begun, a </t>
    </r>
    <r>
      <rPr>
        <b/>
        <sz val="11"/>
        <rFont val="Calibri"/>
        <family val="2"/>
        <scheme val="minor"/>
      </rPr>
      <t>Disk Status</t>
    </r>
    <r>
      <rPr>
        <sz val="11"/>
        <rFont val="Calibri"/>
        <family val="2"/>
        <scheme val="minor"/>
      </rPr>
      <t xml:space="preserve"> table will be displayed. Please wait for the </t>
    </r>
    <r>
      <rPr>
        <b/>
        <sz val="11"/>
        <rFont val="Calibri"/>
        <family val="2"/>
        <scheme val="minor"/>
      </rPr>
      <t>Data Status</t>
    </r>
    <r>
      <rPr>
        <sz val="11"/>
        <rFont val="Calibri"/>
        <family val="2"/>
        <scheme val="minor"/>
      </rPr>
      <t xml:space="preserve"> column of this table to show </t>
    </r>
    <r>
      <rPr>
        <b/>
        <sz val="11"/>
        <rFont val="Calibri"/>
        <family val="2"/>
        <scheme val="minor"/>
      </rPr>
      <t>UpToDate/UptoDate</t>
    </r>
    <r>
      <rPr>
        <sz val="11"/>
        <rFont val="Calibri"/>
        <family val="2"/>
        <scheme val="minor"/>
      </rPr>
      <t xml:space="preserve"> for all listed devices before continuing configuration. </t>
    </r>
  </si>
  <si>
    <t>Data Status</t>
  </si>
  <si>
    <t>UpToDate/UpToDate</t>
  </si>
  <si>
    <t>Services VM Hostname</t>
  </si>
  <si>
    <t xml:space="preserve">Note: This step is not necessary if performing this on the HA standby server, as we will uninstall the Services VM later in the workbook. </t>
  </si>
  <si>
    <t xml:space="preserve">Note: If installing the HA standby server, you do not need to check the Enable Service VM, and may move on to the next screen. </t>
  </si>
  <si>
    <t xml:space="preserve">Note: Please be sure that both the main and the standby servers are patched to the same level before continuing. </t>
  </si>
  <si>
    <t>SNMP Trap receiver Configuration</t>
  </si>
  <si>
    <t>Add the SNMP trap receiver by clicking the button</t>
  </si>
  <si>
    <t>Add SNMP Trap receiver</t>
  </si>
  <si>
    <r>
      <t xml:space="preserve">From the left side menu, select </t>
    </r>
    <r>
      <rPr>
        <b/>
        <sz val="11"/>
        <color theme="1"/>
        <rFont val="Calibri"/>
        <family val="2"/>
        <scheme val="minor"/>
      </rPr>
      <t>Server Management -&gt; SNMP Trap receiver Configuration</t>
    </r>
  </si>
  <si>
    <r>
      <t xml:space="preserve">From the left side menu, select </t>
    </r>
    <r>
      <rPr>
        <b/>
        <sz val="11"/>
        <color theme="1"/>
        <rFont val="Calibri"/>
        <family val="2"/>
        <scheme val="minor"/>
      </rPr>
      <t>Server Management</t>
    </r>
    <r>
      <rPr>
        <sz val="11"/>
        <color theme="1"/>
        <rFont val="Calibri"/>
        <family val="2"/>
        <scheme val="minor"/>
      </rPr>
      <t xml:space="preserve"> -&gt; </t>
    </r>
    <r>
      <rPr>
        <b/>
        <sz val="11"/>
        <color theme="1"/>
        <rFont val="Calibri"/>
        <family val="2"/>
        <scheme val="minor"/>
      </rPr>
      <t>High Availability</t>
    </r>
  </si>
  <si>
    <t>NOTE: Starting HA for ME can take between 2 and 3 hours. Please wait for synchronization to complete before proceeding in the workbook.</t>
  </si>
  <si>
    <t>Use WinSCP or similar file transfer utility to connect to the SM VM.</t>
  </si>
  <si>
    <t>Open a Putty SSH session to the SM VM IP address.</t>
  </si>
  <si>
    <r>
      <rPr>
        <b/>
        <sz val="11"/>
        <color indexed="10"/>
        <rFont val="Calibri"/>
        <family val="2"/>
      </rPr>
      <t>Please read the important note at the top of the "Software Downloads" section on the "Configuration Data" worksheet of this workbook before you download any software.</t>
    </r>
    <r>
      <rPr>
        <sz val="11"/>
        <color theme="1"/>
        <rFont val="Calibri"/>
        <family val="2"/>
        <scheme val="minor"/>
      </rPr>
      <t xml:space="preserve">  There may be newer software versions available, and if that is the case, then you must use different Download Pub IDs than the ones shown below in </t>
    </r>
    <r>
      <rPr>
        <b/>
        <sz val="11"/>
        <color indexed="17"/>
        <rFont val="Calibri"/>
        <family val="2"/>
      </rPr>
      <t>bold green font</t>
    </r>
    <r>
      <rPr>
        <sz val="11"/>
        <color theme="1"/>
        <rFont val="Calibri"/>
        <family val="2"/>
        <scheme val="minor"/>
      </rPr>
      <t>. Also note that if a Download Pub ID shows as a green zero (</t>
    </r>
    <r>
      <rPr>
        <b/>
        <sz val="11"/>
        <color rgb="FF00B050"/>
        <rFont val="Calibri"/>
        <family val="2"/>
        <scheme val="minor"/>
      </rPr>
      <t>0</t>
    </r>
    <r>
      <rPr>
        <sz val="11"/>
        <color theme="1"/>
        <rFont val="Calibri"/>
        <family val="2"/>
        <scheme val="minor"/>
      </rPr>
      <t>) that value is not currently needed or available for download. Move on to the next available download.</t>
    </r>
  </si>
  <si>
    <t>Please note: This field cannot contain an '=' symbol.</t>
  </si>
  <si>
    <t xml:space="preserve">Enter your credentials for SCP access to do the file transfer using customer user name and password. </t>
  </si>
  <si>
    <t>SM IP address</t>
  </si>
  <si>
    <t>Note a copy of this  file can also be found in /vspdata/template/Midsize_Ent/plugins/pre-install/smgr/&lt;filename&gt; on cdom</t>
  </si>
  <si>
    <t>Use winzip NOT built-in windows unzip functions as this alters the file structure and import will fail.</t>
  </si>
  <si>
    <r>
      <t xml:space="preserve">Click  the </t>
    </r>
    <r>
      <rPr>
        <b/>
        <sz val="11"/>
        <color theme="1"/>
        <rFont val="Calibri"/>
        <family val="2"/>
        <scheme val="minor"/>
      </rPr>
      <t>Commit</t>
    </r>
    <r>
      <rPr>
        <sz val="11"/>
        <color theme="1"/>
        <rFont val="Calibri"/>
        <family val="2"/>
        <scheme val="minor"/>
      </rPr>
      <t xml:space="preserve"> button</t>
    </r>
  </si>
  <si>
    <r>
      <t xml:space="preserve">Click </t>
    </r>
    <r>
      <rPr>
        <b/>
        <sz val="11"/>
        <color indexed="8"/>
        <rFont val="Calibri"/>
        <family val="2"/>
      </rPr>
      <t>OK</t>
    </r>
    <r>
      <rPr>
        <sz val="11"/>
        <color theme="1"/>
        <rFont val="Calibri"/>
        <family val="2"/>
        <scheme val="minor"/>
      </rPr>
      <t xml:space="preserve"> in the Commit dialog box</t>
    </r>
  </si>
  <si>
    <t>Confirm that the patch has been successfully committed</t>
  </si>
  <si>
    <t>Please note: This field cannot contain an '=' symbol. This login will be applied to both CM and SM machines.</t>
  </si>
  <si>
    <t>Patch has been successfully committed.</t>
  </si>
  <si>
    <t>Enter "A" when prompted to replace autoUninstall.properties</t>
  </si>
  <si>
    <t>If you are already logged in to cdom in another window, this step and the next are unnecessary.</t>
  </si>
  <si>
    <t>Virtual Machine Management -&gt; Manage</t>
  </si>
  <si>
    <t>Click on the "smgr" link in the "Name" column</t>
  </si>
  <si>
    <t>smgr (link in Name column)</t>
  </si>
  <si>
    <t>Click the "Reboot" button</t>
  </si>
  <si>
    <t>Note: the reboot may take a bit to begin, and will take even longer to complete: be patient.</t>
  </si>
  <si>
    <t>Confirm that the reboot succeeded - "State" and "Application State" must both be "Running"</t>
  </si>
  <si>
    <t>(confirm State and Application state)</t>
  </si>
  <si>
    <t>(both states show "running")</t>
  </si>
  <si>
    <t>"The Session Manager upgrade completed"</t>
  </si>
  <si>
    <t>Note: the SM reboots itself at this point, i.e., "The system is going down for a reboot NOW!"</t>
  </si>
  <si>
    <t>Enter the "monit summary" command to confirm that all presence processes have stopped before proceeding.</t>
  </si>
  <si>
    <r>
      <t xml:space="preserve">(execute </t>
    </r>
    <r>
      <rPr>
        <b/>
        <sz val="11"/>
        <color theme="1"/>
        <rFont val="Calibri"/>
        <family val="2"/>
        <scheme val="minor"/>
      </rPr>
      <t>monit summary)</t>
    </r>
  </si>
  <si>
    <t>Enter the "monit summary" command to confirm that all presence processes have restarted before proceeding.</t>
  </si>
  <si>
    <r>
      <t>If the entry in the "Value" column is "</t>
    </r>
    <r>
      <rPr>
        <b/>
        <sz val="11"/>
        <color rgb="FF00B050"/>
        <rFont val="Calibri"/>
        <family val="2"/>
        <scheme val="minor"/>
      </rPr>
      <t>0</t>
    </r>
    <r>
      <rPr>
        <b/>
        <sz val="11"/>
        <color rgb="FFFF0000"/>
        <rFont val="Calibri"/>
        <family val="2"/>
        <scheme val="minor"/>
      </rPr>
      <t>",  skip to the next section.</t>
    </r>
  </si>
  <si>
    <t>Note: If this is your first login attempt for SMGR after ME template install, you MUST change the SMGR password from its default. See the first steps of "License the System (PLDS)" tab in this workbook.</t>
  </si>
  <si>
    <r>
      <t xml:space="preserve">Customer SuperUser Login Username (NOT </t>
    </r>
    <r>
      <rPr>
        <b/>
        <sz val="11"/>
        <color indexed="8"/>
        <rFont val="Calibri"/>
        <family val="2"/>
      </rPr>
      <t>cust</t>
    </r>
    <r>
      <rPr>
        <sz val="11"/>
        <color theme="1"/>
        <rFont val="Calibri"/>
        <family val="2"/>
        <scheme val="minor"/>
      </rPr>
      <t>). Note, this login applies to both CM and SM VMs.</t>
    </r>
  </si>
  <si>
    <t>135.6.4.1</t>
  </si>
  <si>
    <t xml:space="preserve">Midsize Enterprise DVD 1-of-3 .iso Filename Template </t>
  </si>
  <si>
    <t>Midsize Enterprise DVD 2-of-3 .iso Filename Template</t>
  </si>
  <si>
    <t>Midsize Enterprise DVD 3-of-3 .iso Filename Template</t>
  </si>
  <si>
    <t>ME 6.2 PreInstallation Wizard Filename Template</t>
  </si>
  <si>
    <t xml:space="preserve">With ME 6.2.2 release, System Platform High Availability is supported. This workbook contains the steps required to install and configure an HA system. HA requires two (2) identical Avaya supported servers, as well as two (2) additional IP addresses for the installation of the standby System Platform. </t>
  </si>
  <si>
    <t>Set Time Zone</t>
  </si>
  <si>
    <r>
      <rPr>
        <sz val="11"/>
        <rFont val="Calibri"/>
        <family val="2"/>
        <scheme val="minor"/>
      </rPr>
      <t xml:space="preserve">In the </t>
    </r>
    <r>
      <rPr>
        <b/>
        <sz val="11"/>
        <rFont val="Calibri"/>
        <family val="2"/>
        <scheme val="minor"/>
      </rPr>
      <t>Set Time Zone</t>
    </r>
    <r>
      <rPr>
        <sz val="11"/>
        <rFont val="Calibri"/>
        <family val="2"/>
        <scheme val="minor"/>
      </rPr>
      <t xml:space="preserve"> section, select the correct time zone</t>
    </r>
  </si>
  <si>
    <t>Enter the FQDN or IP address of the customer's NTP server</t>
  </si>
  <si>
    <r>
      <t xml:space="preserve">In the </t>
    </r>
    <r>
      <rPr>
        <b/>
        <sz val="11"/>
        <color theme="1"/>
        <rFont val="Calibri"/>
        <family val="2"/>
        <scheme val="minor"/>
      </rPr>
      <t xml:space="preserve">Set Date and Time </t>
    </r>
    <r>
      <rPr>
        <sz val="11"/>
        <color theme="1"/>
        <rFont val="Calibri"/>
        <family val="2"/>
        <scheme val="minor"/>
      </rPr>
      <t xml:space="preserve">section, select the </t>
    </r>
    <r>
      <rPr>
        <b/>
        <sz val="11"/>
        <color theme="1"/>
        <rFont val="Calibri"/>
        <family val="2"/>
        <scheme val="minor"/>
      </rPr>
      <t xml:space="preserve">Manually set date and time </t>
    </r>
    <r>
      <rPr>
        <sz val="11"/>
        <color theme="1"/>
        <rFont val="Calibri"/>
        <family val="2"/>
        <scheme val="minor"/>
      </rPr>
      <t>radio button</t>
    </r>
  </si>
  <si>
    <r>
      <t xml:space="preserve">Click the </t>
    </r>
    <r>
      <rPr>
        <b/>
        <sz val="11"/>
        <color theme="1"/>
        <rFont val="Calibri"/>
        <family val="2"/>
        <scheme val="minor"/>
      </rPr>
      <t>Apply</t>
    </r>
    <r>
      <rPr>
        <sz val="11"/>
        <color theme="1"/>
        <rFont val="Calibri"/>
        <family val="2"/>
        <scheme val="minor"/>
      </rPr>
      <t xml:space="preserve"> button in the lower right corner of the Calendar Dialogue Box</t>
    </r>
  </si>
  <si>
    <r>
      <t xml:space="preserve">Click the </t>
    </r>
    <r>
      <rPr>
        <b/>
        <sz val="11"/>
        <color theme="1"/>
        <rFont val="Calibri"/>
        <family val="2"/>
        <scheme val="minor"/>
      </rPr>
      <t>OK</t>
    </r>
    <r>
      <rPr>
        <sz val="11"/>
        <color theme="1"/>
        <rFont val="Calibri"/>
        <family val="2"/>
        <scheme val="minor"/>
      </rPr>
      <t xml:space="preserve"> button in the Time-of-Day Dialogue Box</t>
    </r>
  </si>
  <si>
    <r>
      <t xml:space="preserve">Click the </t>
    </r>
    <r>
      <rPr>
        <b/>
        <sz val="11"/>
        <color indexed="8"/>
        <rFont val="Calibri"/>
        <family val="2"/>
      </rPr>
      <t>Add</t>
    </r>
    <r>
      <rPr>
        <sz val="11"/>
        <color theme="1"/>
        <rFont val="Calibri"/>
        <family val="2"/>
        <scheme val="minor"/>
      </rPr>
      <t xml:space="preserve"> button</t>
    </r>
  </si>
  <si>
    <r>
      <t xml:space="preserve">Click on the </t>
    </r>
    <r>
      <rPr>
        <b/>
        <sz val="11"/>
        <color theme="1"/>
        <rFont val="Calibri"/>
        <family val="2"/>
        <scheme val="minor"/>
      </rPr>
      <t>Save</t>
    </r>
    <r>
      <rPr>
        <sz val="11"/>
        <color theme="1"/>
        <rFont val="Calibri"/>
        <family val="2"/>
        <scheme val="minor"/>
      </rPr>
      <t xml:space="preserve"> button</t>
    </r>
  </si>
  <si>
    <t>avpublic IP Address</t>
  </si>
  <si>
    <t>avpublic Netmask</t>
  </si>
  <si>
    <t>Enter target network Default Gateway</t>
  </si>
  <si>
    <t>Enter target network Netmask</t>
  </si>
  <si>
    <t>(Click the radio button)</t>
  </si>
  <si>
    <t>(Click the Add button)</t>
  </si>
  <si>
    <t>(Click the Save button)</t>
  </si>
  <si>
    <t>(Click on the radio button)</t>
  </si>
  <si>
    <t>Use NTP for date and time (radio button)</t>
  </si>
  <si>
    <t>Use system clock for date and time (radio button)</t>
  </si>
  <si>
    <r>
      <t>Browse to</t>
    </r>
    <r>
      <rPr>
        <b/>
        <sz val="11"/>
        <color indexed="8"/>
        <rFont val="Calibri"/>
        <family val="2"/>
      </rPr>
      <t xml:space="preserve"> Virtual Machine Management -&gt; Templates</t>
    </r>
  </si>
  <si>
    <t>Step: Verify Date/Time Configuration</t>
  </si>
  <si>
    <t>If NTP was selected, confirm that the NTPD service is running</t>
  </si>
  <si>
    <r>
      <t xml:space="preserve">Click the </t>
    </r>
    <r>
      <rPr>
        <b/>
        <sz val="11"/>
        <color theme="1"/>
        <rFont val="Calibri"/>
        <family val="2"/>
        <scheme val="minor"/>
      </rPr>
      <t>Configure</t>
    </r>
    <r>
      <rPr>
        <sz val="11"/>
        <color theme="1"/>
        <rFont val="Calibri"/>
        <family val="2"/>
        <scheme val="minor"/>
      </rPr>
      <t xml:space="preserve"> button</t>
    </r>
  </si>
  <si>
    <t>License Terms screen displayed, accept license agreement</t>
  </si>
  <si>
    <t>Configure (button)</t>
  </si>
  <si>
    <t>(Click the Configure button)</t>
  </si>
  <si>
    <t>Note, if the Configuration is cancelled before completion, a complete new installation of the ME template will need to be performed. It will not be possible to attempt the Configuration process again and consequently the installation will take much longer.</t>
  </si>
  <si>
    <t>(Click Virtual Machine Management, then Templates)</t>
  </si>
  <si>
    <t>(Click the Continue without EPW file button)</t>
  </si>
  <si>
    <r>
      <t xml:space="preserve">Review the Template Details and then click on the </t>
    </r>
    <r>
      <rPr>
        <b/>
        <sz val="11"/>
        <color theme="1"/>
        <rFont val="Calibri"/>
        <family val="2"/>
        <scheme val="minor"/>
      </rPr>
      <t xml:space="preserve">Configure </t>
    </r>
    <r>
      <rPr>
        <sz val="11"/>
        <color theme="1"/>
        <rFont val="Calibri"/>
        <family val="2"/>
        <scheme val="minor"/>
      </rPr>
      <t>button</t>
    </r>
  </si>
  <si>
    <t>Services VM IP Address</t>
  </si>
  <si>
    <t>HTTPS Proxy (Optional) [IP Address:Port Number]</t>
  </si>
  <si>
    <t>Enter HTTPS Proxy (Optional) [IP Address:Port Number]</t>
  </si>
  <si>
    <t>dom0 Hostname</t>
  </si>
  <si>
    <t>mojome1-dom0</t>
  </si>
  <si>
    <t>cdom Hostname</t>
  </si>
  <si>
    <t>mojome1-cdom</t>
  </si>
  <si>
    <t>services virtual machine Hostname</t>
  </si>
  <si>
    <t>mojome1-svm</t>
  </si>
  <si>
    <t>Domain-0 Hostname</t>
  </si>
  <si>
    <t>Services VM Enabled (tick box)</t>
  </si>
  <si>
    <t>(tick box)</t>
  </si>
  <si>
    <r>
      <t xml:space="preserve">Select the </t>
    </r>
    <r>
      <rPr>
        <b/>
        <sz val="11"/>
        <color theme="1"/>
        <rFont val="Calibri"/>
        <family val="2"/>
        <scheme val="minor"/>
      </rPr>
      <t xml:space="preserve">Use NTP for date and time </t>
    </r>
    <r>
      <rPr>
        <sz val="11"/>
        <color theme="1"/>
        <rFont val="Calibri"/>
        <family val="2"/>
        <scheme val="minor"/>
      </rPr>
      <t>radio button</t>
    </r>
  </si>
  <si>
    <t>Enter target network Primary DNS IP Address</t>
  </si>
  <si>
    <t>Enter target network Secondary DNS IP Address</t>
  </si>
  <si>
    <r>
      <t xml:space="preserve">Click the </t>
    </r>
    <r>
      <rPr>
        <b/>
        <sz val="11"/>
        <color theme="1"/>
        <rFont val="Calibri"/>
        <family val="2"/>
        <scheme val="minor"/>
      </rPr>
      <t>OK</t>
    </r>
    <r>
      <rPr>
        <sz val="11"/>
        <color theme="1"/>
        <rFont val="Calibri"/>
        <family val="2"/>
        <scheme val="minor"/>
      </rPr>
      <t xml:space="preserve"> button on the dialogue box that warns that a system REBOOT will be necessary</t>
    </r>
  </si>
  <si>
    <t>Ensure that you have pop-ups enabled on your browser</t>
  </si>
  <si>
    <r>
      <t xml:space="preserve">When the template installer reaches </t>
    </r>
    <r>
      <rPr>
        <b/>
        <sz val="11"/>
        <color indexed="8"/>
        <rFont val="Calibri"/>
        <family val="2"/>
      </rPr>
      <t>Wait for user to complete data entry</t>
    </r>
    <r>
      <rPr>
        <sz val="11"/>
        <color theme="1"/>
        <rFont val="Calibri"/>
        <family val="2"/>
        <scheme val="minor"/>
      </rPr>
      <t xml:space="preserve">, the Installation Wizard launches. The first screen is the </t>
    </r>
    <r>
      <rPr>
        <b/>
        <sz val="11"/>
        <color indexed="8"/>
        <rFont val="Calibri"/>
        <family val="2"/>
      </rPr>
      <t>Network Settings</t>
    </r>
    <r>
      <rPr>
        <sz val="11"/>
        <color theme="1"/>
        <rFont val="Calibri"/>
        <family val="2"/>
        <scheme val="minor"/>
      </rPr>
      <t xml:space="preserve"> form.</t>
    </r>
  </si>
  <si>
    <r>
      <t xml:space="preserve">In the </t>
    </r>
    <r>
      <rPr>
        <b/>
        <sz val="11"/>
        <color theme="1"/>
        <rFont val="Calibri"/>
        <family val="2"/>
        <scheme val="minor"/>
      </rPr>
      <t xml:space="preserve">Network Settings </t>
    </r>
    <r>
      <rPr>
        <sz val="11"/>
        <color theme="1"/>
        <rFont val="Calibri"/>
        <family val="2"/>
        <scheme val="minor"/>
      </rPr>
      <t>page, enter the target network Domain-0 IP Address</t>
    </r>
  </si>
  <si>
    <t>Enter the target network Domain-0 Hostname</t>
  </si>
  <si>
    <t>Enter the target network Default Gateway IP Address</t>
  </si>
  <si>
    <t>Enter the target network Network Mask</t>
  </si>
  <si>
    <t>Enter the target network Primary DNS (Optional)</t>
  </si>
  <si>
    <t>Enter the target network Secondary DNS (Optional)</t>
  </si>
  <si>
    <t>Enter the target network Default Search List</t>
  </si>
  <si>
    <t>Enter the target network HTTPS Proxy (Optional) [IP Address:Port Number]</t>
  </si>
  <si>
    <t>Application Enablement Services IP Address</t>
  </si>
  <si>
    <t>Application Enablement Services Hostname</t>
  </si>
  <si>
    <t>Enter IP Address for Application Enablement Services VM</t>
  </si>
  <si>
    <t>Enter Hostname for Application Enablement Services VM</t>
  </si>
  <si>
    <t>Session Manager IP Address</t>
  </si>
  <si>
    <t>Session Manager Hostname</t>
  </si>
  <si>
    <t>Enter IP Address for Session Manager SIP Entity</t>
  </si>
  <si>
    <t>Session Manager SIP Entity IP</t>
  </si>
  <si>
    <t>admin account password</t>
  </si>
  <si>
    <t>cust account  password</t>
  </si>
  <si>
    <t xml:space="preserve">ldap account password </t>
  </si>
  <si>
    <t>Note: SMGR VFQDN is a new property for SMGR Geo Redundancy. Although ME will not support SMGR Geo Redundancy, this property still needs to be defined</t>
  </si>
  <si>
    <t>Re-type the root password for System Platform</t>
  </si>
  <si>
    <t>Enter the admin password for System Platform</t>
  </si>
  <si>
    <t>Re-type the admin password for System Platform</t>
  </si>
  <si>
    <t>Enter the cust password for System Platform</t>
  </si>
  <si>
    <t>Re-type the cust password for System Platform</t>
  </si>
  <si>
    <t>Enter the ldap password for System Platform</t>
  </si>
  <si>
    <t>Re-type the ldap password for System Platform</t>
  </si>
  <si>
    <t>Re-type SMGRUser password for CM login</t>
  </si>
  <si>
    <t>Enter customer login password</t>
  </si>
  <si>
    <t>Re-type customer login password</t>
  </si>
  <si>
    <r>
      <t xml:space="preserve">In the </t>
    </r>
    <r>
      <rPr>
        <b/>
        <sz val="11"/>
        <color theme="1"/>
        <rFont val="Calibri"/>
        <family val="2"/>
        <scheme val="minor"/>
      </rPr>
      <t>Non root user for System Manager</t>
    </r>
    <r>
      <rPr>
        <sz val="11"/>
        <color theme="1"/>
        <rFont val="Calibri"/>
        <family val="2"/>
        <scheme val="minor"/>
      </rPr>
      <t xml:space="preserve"> section, default value defined</t>
    </r>
  </si>
  <si>
    <r>
      <t xml:space="preserve">In the </t>
    </r>
    <r>
      <rPr>
        <b/>
        <sz val="11"/>
        <color theme="1"/>
        <rFont val="Calibri"/>
        <family val="2"/>
        <scheme val="minor"/>
      </rPr>
      <t>SMGR VFQDN</t>
    </r>
    <r>
      <rPr>
        <sz val="11"/>
        <color theme="1"/>
        <rFont val="Calibri"/>
        <family val="2"/>
        <scheme val="minor"/>
      </rPr>
      <t xml:space="preserve"> page, default value for System Manager VFQDN Virtual Hostname defined</t>
    </r>
  </si>
  <si>
    <t>Virtual Hostname</t>
  </si>
  <si>
    <t>grsmgr</t>
  </si>
  <si>
    <t>Default value for  System Manager VFQDN Virtual Domain defined</t>
  </si>
  <si>
    <t>Virtual Domain</t>
  </si>
  <si>
    <t>mydomainname.com</t>
  </si>
  <si>
    <r>
      <t xml:space="preserve">In the </t>
    </r>
    <r>
      <rPr>
        <b/>
        <sz val="11"/>
        <color theme="1"/>
        <rFont val="Calibri"/>
        <family val="2"/>
        <scheme val="minor"/>
      </rPr>
      <t xml:space="preserve">Enter SMGRUser password for CM login </t>
    </r>
    <r>
      <rPr>
        <sz val="11"/>
        <color theme="1"/>
        <rFont val="Calibri"/>
        <family val="2"/>
        <scheme val="minor"/>
      </rPr>
      <t>section, default value for Login name defined</t>
    </r>
  </si>
  <si>
    <t>SMGRuser</t>
  </si>
  <si>
    <r>
      <t xml:space="preserve">In the </t>
    </r>
    <r>
      <rPr>
        <b/>
        <sz val="11"/>
        <color theme="1"/>
        <rFont val="Calibri"/>
        <family val="2"/>
        <scheme val="minor"/>
      </rPr>
      <t>Enter root and cust passwords for AES (optional)</t>
    </r>
    <r>
      <rPr>
        <sz val="11"/>
        <color theme="1"/>
        <rFont val="Calibri"/>
        <family val="2"/>
        <scheme val="minor"/>
      </rPr>
      <t xml:space="preserve"> section, accept defaults for AES</t>
    </r>
  </si>
  <si>
    <r>
      <t xml:space="preserve">In the </t>
    </r>
    <r>
      <rPr>
        <b/>
        <sz val="11"/>
        <color theme="1"/>
        <rFont val="Calibri"/>
        <family val="2"/>
        <scheme val="minor"/>
      </rPr>
      <t xml:space="preserve">Country </t>
    </r>
    <r>
      <rPr>
        <sz val="11"/>
        <color theme="1"/>
        <rFont val="Calibri"/>
        <family val="2"/>
        <scheme val="minor"/>
      </rPr>
      <t>page, select Country drop-down menu</t>
    </r>
  </si>
  <si>
    <r>
      <t>In the</t>
    </r>
    <r>
      <rPr>
        <b/>
        <sz val="11"/>
        <color theme="1"/>
        <rFont val="Calibri"/>
        <family val="2"/>
        <scheme val="minor"/>
      </rPr>
      <t xml:space="preserve"> VPN Access</t>
    </r>
    <r>
      <rPr>
        <sz val="11"/>
        <color theme="1"/>
        <rFont val="Calibri"/>
        <family val="2"/>
        <scheme val="minor"/>
      </rPr>
      <t xml:space="preserve"> page, confirm that VPN Access is disabled</t>
    </r>
  </si>
  <si>
    <r>
      <t>In the</t>
    </r>
    <r>
      <rPr>
        <b/>
        <sz val="11"/>
        <color theme="1"/>
        <rFont val="Calibri"/>
        <family val="2"/>
        <scheme val="minor"/>
      </rPr>
      <t xml:space="preserve"> Gateways </t>
    </r>
    <r>
      <rPr>
        <sz val="11"/>
        <color theme="1"/>
        <rFont val="Calibri"/>
        <family val="2"/>
        <scheme val="minor"/>
      </rPr>
      <t>page, select Gateway type from the drop down list</t>
    </r>
  </si>
  <si>
    <r>
      <t>The</t>
    </r>
    <r>
      <rPr>
        <b/>
        <sz val="11"/>
        <color rgb="FFFF0000"/>
        <rFont val="Calibri"/>
        <family val="2"/>
        <scheme val="minor"/>
      </rPr>
      <t xml:space="preserve"> DHCP</t>
    </r>
    <r>
      <rPr>
        <sz val="11"/>
        <color rgb="FFFF0000"/>
        <rFont val="Calibri"/>
        <family val="2"/>
        <scheme val="minor"/>
      </rPr>
      <t xml:space="preserve"> page is displayed (see note at right)</t>
    </r>
  </si>
  <si>
    <r>
      <t xml:space="preserve">In the </t>
    </r>
    <r>
      <rPr>
        <b/>
        <sz val="11"/>
        <color theme="1"/>
        <rFont val="Calibri"/>
        <family val="2"/>
        <scheme val="minor"/>
      </rPr>
      <t>Stations and Voice Mail Configuration</t>
    </r>
    <r>
      <rPr>
        <sz val="11"/>
        <color theme="1"/>
        <rFont val="Calibri"/>
        <family val="2"/>
        <scheme val="minor"/>
      </rPr>
      <t xml:space="preserve"> page, select Dial plan length</t>
    </r>
  </si>
  <si>
    <t>Gateway type (drop down list)</t>
  </si>
  <si>
    <t>ABIT.txt file</t>
  </si>
  <si>
    <t>(filename)</t>
  </si>
  <si>
    <t>Select a Voice Mail language to load  </t>
  </si>
  <si>
    <t>(select from drop down list)</t>
  </si>
  <si>
    <t>Select integration type</t>
  </si>
  <si>
    <t>Select the integration type</t>
  </si>
  <si>
    <r>
      <t xml:space="preserve">In the </t>
    </r>
    <r>
      <rPr>
        <b/>
        <sz val="11"/>
        <color theme="1"/>
        <rFont val="Calibri"/>
        <family val="2"/>
        <scheme val="minor"/>
      </rPr>
      <t>Trunks</t>
    </r>
    <r>
      <rPr>
        <sz val="11"/>
        <color theme="1"/>
        <rFont val="Calibri"/>
        <family val="2"/>
        <scheme val="minor"/>
      </rPr>
      <t xml:space="preserve"> page, do not modify the defaults</t>
    </r>
  </si>
  <si>
    <t>Re-type the SM Enrollment  Password</t>
  </si>
  <si>
    <t>SIP Domain</t>
  </si>
  <si>
    <r>
      <t>In the</t>
    </r>
    <r>
      <rPr>
        <b/>
        <sz val="11"/>
        <color theme="1"/>
        <rFont val="Calibri"/>
        <family val="2"/>
        <scheme val="minor"/>
      </rPr>
      <t xml:space="preserve"> Session Manager </t>
    </r>
    <r>
      <rPr>
        <sz val="11"/>
        <color theme="1"/>
        <rFont val="Calibri"/>
        <family val="2"/>
        <scheme val="minor"/>
      </rPr>
      <t>page, enter the SM Enrollment  Password</t>
    </r>
  </si>
  <si>
    <t>Enter Location name</t>
  </si>
  <si>
    <r>
      <t xml:space="preserve">In the </t>
    </r>
    <r>
      <rPr>
        <b/>
        <sz val="11"/>
        <color theme="1"/>
        <rFont val="Calibri"/>
        <family val="2"/>
        <scheme val="minor"/>
      </rPr>
      <t>System Manager</t>
    </r>
    <r>
      <rPr>
        <sz val="11"/>
        <color theme="1"/>
        <rFont val="Calibri"/>
        <family val="2"/>
        <scheme val="minor"/>
      </rPr>
      <t xml:space="preserve"> page, select Timezone from the drop down list</t>
    </r>
  </si>
  <si>
    <r>
      <t>Select a location on your PC and click</t>
    </r>
    <r>
      <rPr>
        <b/>
        <sz val="11"/>
        <color theme="1"/>
        <rFont val="Calibri"/>
        <family val="2"/>
        <scheme val="minor"/>
      </rPr>
      <t xml:space="preserve"> Save</t>
    </r>
    <r>
      <rPr>
        <sz val="11"/>
        <color theme="1"/>
        <rFont val="Calibri"/>
        <family val="2"/>
        <scheme val="minor"/>
      </rPr>
      <t xml:space="preserve"> to save the xml files zip file</t>
    </r>
  </si>
  <si>
    <r>
      <t xml:space="preserve">In the </t>
    </r>
    <r>
      <rPr>
        <b/>
        <sz val="11"/>
        <color theme="1"/>
        <rFont val="Calibri"/>
        <family val="2"/>
        <scheme val="minor"/>
      </rPr>
      <t>Presence</t>
    </r>
    <r>
      <rPr>
        <sz val="11"/>
        <color theme="1"/>
        <rFont val="Calibri"/>
        <family val="2"/>
        <scheme val="minor"/>
      </rPr>
      <t xml:space="preserve"> page, enter the Presence Router Service Name</t>
    </r>
  </si>
  <si>
    <r>
      <t>In the</t>
    </r>
    <r>
      <rPr>
        <b/>
        <sz val="11"/>
        <color theme="1"/>
        <rFont val="Calibri"/>
        <family val="2"/>
        <scheme val="minor"/>
      </rPr>
      <t xml:space="preserve"> SNMP</t>
    </r>
    <r>
      <rPr>
        <sz val="11"/>
        <color theme="1"/>
        <rFont val="Calibri"/>
        <family val="2"/>
        <scheme val="minor"/>
      </rPr>
      <t xml:space="preserve"> page, enter a user name prefix for SNMP</t>
    </r>
  </si>
  <si>
    <r>
      <t xml:space="preserve">In the </t>
    </r>
    <r>
      <rPr>
        <b/>
        <sz val="11"/>
        <color theme="1"/>
        <rFont val="Calibri"/>
        <family val="2"/>
        <scheme val="minor"/>
      </rPr>
      <t>SMGR Backup</t>
    </r>
    <r>
      <rPr>
        <sz val="11"/>
        <color theme="1"/>
        <rFont val="Calibri"/>
        <family val="2"/>
        <scheme val="minor"/>
      </rPr>
      <t xml:space="preserve"> page, enter details to schedule System Manager backups</t>
    </r>
  </si>
  <si>
    <t>Note, this can be done after deployment.</t>
  </si>
  <si>
    <r>
      <t xml:space="preserve">If the label is </t>
    </r>
    <r>
      <rPr>
        <b/>
        <u/>
        <sz val="11"/>
        <rFont val="Calibri"/>
        <family val="2"/>
      </rPr>
      <t>NOT</t>
    </r>
    <r>
      <rPr>
        <sz val="11"/>
        <rFont val="Calibri"/>
        <family val="2"/>
      </rPr>
      <t xml:space="preserve"> present, then skip this worksheet and proceed to the "</t>
    </r>
    <r>
      <rPr>
        <b/>
        <sz val="11"/>
        <rFont val="Calibri"/>
        <family val="2"/>
      </rPr>
      <t>Install SP - No Pre-staged SW</t>
    </r>
    <r>
      <rPr>
        <sz val="11"/>
        <rFont val="Calibri"/>
        <family val="2"/>
      </rPr>
      <t xml:space="preserve">" worksheet. 
</t>
    </r>
  </si>
  <si>
    <t>Step: Pre-Staged Installation Configuration page, Set Date/Time and Time Zone manually</t>
  </si>
  <si>
    <t>Step: Pre-Staged Installation Configuration page, Set Date/Time and Time Zone using NTP</t>
  </si>
  <si>
    <r>
      <t xml:space="preserve">Click on the </t>
    </r>
    <r>
      <rPr>
        <b/>
        <sz val="11"/>
        <color indexed="8"/>
        <rFont val="Calibri"/>
        <family val="2"/>
      </rPr>
      <t xml:space="preserve">Save </t>
    </r>
    <r>
      <rPr>
        <sz val="11"/>
        <color theme="1"/>
        <rFont val="Calibri"/>
        <family val="2"/>
        <scheme val="minor"/>
      </rPr>
      <t>button</t>
    </r>
  </si>
  <si>
    <r>
      <t xml:space="preserve">In the </t>
    </r>
    <r>
      <rPr>
        <b/>
        <sz val="11"/>
        <color theme="1"/>
        <rFont val="Calibri"/>
        <family val="2"/>
        <scheme val="minor"/>
      </rPr>
      <t>Logins</t>
    </r>
    <r>
      <rPr>
        <sz val="11"/>
        <color theme="1"/>
        <rFont val="Calibri"/>
        <family val="2"/>
        <scheme val="minor"/>
      </rPr>
      <t xml:space="preserve"> page, enter Customer Login Name</t>
    </r>
  </si>
  <si>
    <t>Enter the root password for System Platform</t>
  </si>
  <si>
    <r>
      <t xml:space="preserve">In the </t>
    </r>
    <r>
      <rPr>
        <b/>
        <sz val="11"/>
        <color theme="1"/>
        <rFont val="Calibri"/>
        <family val="2"/>
        <scheme val="minor"/>
      </rPr>
      <t>Logins</t>
    </r>
    <r>
      <rPr>
        <sz val="11"/>
        <color theme="1"/>
        <rFont val="Calibri"/>
        <family val="2"/>
        <scheme val="minor"/>
      </rPr>
      <t xml:space="preserve"> page, under </t>
    </r>
    <r>
      <rPr>
        <b/>
        <sz val="11"/>
        <color theme="1"/>
        <rFont val="Calibri"/>
        <family val="2"/>
        <scheme val="minor"/>
      </rPr>
      <t>SP Logins</t>
    </r>
    <r>
      <rPr>
        <sz val="11"/>
        <color theme="1"/>
        <rFont val="Calibri"/>
        <family val="2"/>
        <scheme val="minor"/>
      </rPr>
      <t>, enter the  passwords for the System Platform user accounts.</t>
    </r>
  </si>
  <si>
    <t>NTP Server FQDN / IP Address (optional)(recommended)</t>
  </si>
  <si>
    <t>drtime.dr.avaya.com / 135.6.1.100</t>
  </si>
  <si>
    <t>135.6.1.101:8000</t>
  </si>
  <si>
    <t>(attach laptop to the G430 / G450 Media Gateway's Services Ethernet jack)</t>
  </si>
  <si>
    <r>
      <t xml:space="preserve">In a command window, enter </t>
    </r>
    <r>
      <rPr>
        <b/>
        <sz val="11"/>
        <color indexed="8"/>
        <rFont val="Calibri"/>
        <family val="2"/>
      </rPr>
      <t>ping -t 192.11.13.6</t>
    </r>
    <r>
      <rPr>
        <sz val="11"/>
        <color theme="1"/>
        <rFont val="Calibri"/>
        <family val="2"/>
        <scheme val="minor"/>
      </rPr>
      <t xml:space="preserve"> until you see a response to the pings.  Then open an SSH session to connect to 192.11.13.6.</t>
    </r>
  </si>
  <si>
    <t>Note: The ME template requires ~14 GB. If the CDOM's /vsp-template partition has less available space than this, the template install will fail.  On a new install, this will not be an issue, but if a previous template was installed, you must remove the old template files from /vsp-template by highlighting the Midsize_Ent  directory on the filesystem diagram and then clicking the Delete button.</t>
  </si>
  <si>
    <t xml:space="preserve">(IP Address = 192.168.224.90)
(Netmask = 255.255.255.0)
(default GW Address =  192.168.224.254)
</t>
  </si>
  <si>
    <t>Check for a white paper stick-on label affixed over the CD/DVD Drive on the server front panel.  If the label is present, confirm that it indicates that the server has pre-staged software.</t>
  </si>
  <si>
    <t>If either address replies before the server is installed and connected, an IP host is already using the IP address. Locate it and re-address it or remove it from the network before proceeding.</t>
  </si>
  <si>
    <r>
      <t xml:space="preserve">Note: The following four commands provide a quick sanity check that the server is, indeed, pre-staged with Avaya Aura® System Platform software and the Avaya Aura® Solution for Midsize Enterprise (ME) 6.2.2 template using factory default settings.  If the command results do </t>
    </r>
    <r>
      <rPr>
        <b/>
        <u/>
        <sz val="11"/>
        <color indexed="10"/>
        <rFont val="Calibri"/>
        <family val="2"/>
      </rPr>
      <t>NOT</t>
    </r>
    <r>
      <rPr>
        <b/>
        <sz val="11"/>
        <color indexed="10"/>
        <rFont val="Calibri"/>
        <family val="2"/>
      </rPr>
      <t xml:space="preserve"> match the expected values, then the server is not properly pre-staged and you must skip this worksheet and proceed to the "Install SP - No Preloaded SW" worksheet instead.</t>
    </r>
  </si>
  <si>
    <t>Step: Confirm factory pre-staged settings</t>
  </si>
  <si>
    <t>Step: Determine if server has factory pre-staged software</t>
  </si>
  <si>
    <t>Note: The factory pre-stages and configures Avaya Aura® System Platform software and the Avaya Aura® Solution for Midsize Enterprise (ME) 6.2.2 template using factory defaults. This includes Keyboard Type, Networking Configuration, Date/Time and Timezone, etc. NTP is not configured at the factory.
You must replace these factory default values with customer specific values.</t>
  </si>
  <si>
    <t>Step: View and accept license agreement</t>
  </si>
  <si>
    <t>Note: If not configuring NTP, skip to Step: Pre-Staged Installation Configuration page, Set Date/Time and Time Zone manually. 
Note: System must be connected to the customer network and the time servers must be reachable, If not, set the time manually and activate NTP later via Avaya Aura® System Platform Date / Time Configuration page.</t>
  </si>
  <si>
    <t>Note: a template should not be installed on the standby server and so for a pre-staged server must be removed. The solution template propagates from the active node to the standby node when High Availability is started.</t>
  </si>
  <si>
    <r>
      <t xml:space="preserve">Click the </t>
    </r>
    <r>
      <rPr>
        <b/>
        <sz val="11"/>
        <color theme="1"/>
        <rFont val="Calibri"/>
        <family val="2"/>
        <scheme val="minor"/>
      </rPr>
      <t>Delete</t>
    </r>
    <r>
      <rPr>
        <sz val="11"/>
        <color theme="1"/>
        <rFont val="Calibri"/>
        <family val="2"/>
        <scheme val="minor"/>
      </rPr>
      <t xml:space="preserve"> button</t>
    </r>
  </si>
  <si>
    <t>Delete (button)</t>
  </si>
  <si>
    <r>
      <t xml:space="preserve">Click the </t>
    </r>
    <r>
      <rPr>
        <b/>
        <sz val="11"/>
        <color theme="1"/>
        <rFont val="Calibri"/>
        <family val="2"/>
        <scheme val="minor"/>
      </rPr>
      <t>OK</t>
    </r>
    <r>
      <rPr>
        <sz val="11"/>
        <color theme="1"/>
        <rFont val="Calibri"/>
        <family val="2"/>
        <scheme val="minor"/>
      </rPr>
      <t xml:space="preserve"> button for the warning pop-up</t>
    </r>
  </si>
  <si>
    <r>
      <t xml:space="preserve">In an ME High Availability system, there are two servers, the main server and the standby server. At this point, setup the standby server according to worksheet </t>
    </r>
    <r>
      <rPr>
        <b/>
        <sz val="11"/>
        <color theme="1"/>
        <rFont val="Calibri"/>
        <family val="2"/>
        <scheme val="minor"/>
      </rPr>
      <t xml:space="preserve">Configure ME - Pre-staged SW </t>
    </r>
    <r>
      <rPr>
        <sz val="11"/>
        <color theme="1"/>
        <rFont val="Calibri"/>
        <family val="2"/>
        <scheme val="minor"/>
      </rPr>
      <t xml:space="preserve">or </t>
    </r>
    <r>
      <rPr>
        <b/>
        <sz val="11"/>
        <color theme="1"/>
        <rFont val="Calibri"/>
        <family val="2"/>
        <scheme val="minor"/>
      </rPr>
      <t>Install SP - No Preloaded SW</t>
    </r>
    <r>
      <rPr>
        <sz val="11"/>
        <color theme="1"/>
        <rFont val="Calibri"/>
        <family val="2"/>
        <scheme val="minor"/>
      </rPr>
      <t xml:space="preserve">, using the IP address and host information reserved for the standby.  </t>
    </r>
  </si>
  <si>
    <t>Note: NTP servers that are added must be available in order to proceed.</t>
  </si>
  <si>
    <t>Step: Configure High Availability on the Main Server</t>
  </si>
  <si>
    <t>Use browser to access the Console Domain on the Standby Server.</t>
  </si>
  <si>
    <t>Enter the admin password for the Standby Server</t>
  </si>
  <si>
    <r>
      <t xml:space="preserve">Enter </t>
    </r>
    <r>
      <rPr>
        <b/>
        <sz val="11"/>
        <color theme="1"/>
        <rFont val="Calibri"/>
        <family val="2"/>
        <scheme val="minor"/>
      </rPr>
      <t>Cdom Hostname</t>
    </r>
  </si>
  <si>
    <r>
      <t xml:space="preserve">Enter </t>
    </r>
    <r>
      <rPr>
        <b/>
        <sz val="11"/>
        <color theme="1"/>
        <rFont val="Calibri"/>
        <family val="2"/>
        <scheme val="minor"/>
      </rPr>
      <t>Dom0 Hostname</t>
    </r>
  </si>
  <si>
    <r>
      <t xml:space="preserve">Under </t>
    </r>
    <r>
      <rPr>
        <b/>
        <sz val="11"/>
        <color theme="1"/>
        <rFont val="Calibri"/>
        <family val="2"/>
        <scheme val="minor"/>
      </rPr>
      <t>General Network Settings, e</t>
    </r>
    <r>
      <rPr>
        <sz val="11"/>
        <color theme="1"/>
        <rFont val="Calibri"/>
        <family val="2"/>
        <scheme val="minor"/>
      </rPr>
      <t>nter</t>
    </r>
    <r>
      <rPr>
        <b/>
        <sz val="11"/>
        <color theme="1"/>
        <rFont val="Calibri"/>
        <family val="2"/>
        <scheme val="minor"/>
      </rPr>
      <t xml:space="preserve"> Default Gateway</t>
    </r>
  </si>
  <si>
    <t>Required Info for High Availability Standby Server installation</t>
  </si>
  <si>
    <t>Dom0 Hostname</t>
  </si>
  <si>
    <t>mojome1-ha-dom0</t>
  </si>
  <si>
    <t>dom0 Domain</t>
  </si>
  <si>
    <t>cdom Domain</t>
  </si>
  <si>
    <t>mojome1-ha-cdom</t>
  </si>
  <si>
    <t>admin01 (default value)</t>
  </si>
  <si>
    <t>Cdom Hostname</t>
  </si>
  <si>
    <t>Note: Cdom FQDN</t>
  </si>
  <si>
    <t>Note: Dom0 FQDN</t>
  </si>
  <si>
    <r>
      <t xml:space="preserve">Under </t>
    </r>
    <r>
      <rPr>
        <b/>
        <sz val="11"/>
        <color theme="1"/>
        <rFont val="Calibri"/>
        <family val="2"/>
        <scheme val="minor"/>
      </rPr>
      <t xml:space="preserve">Domain Network Interface, </t>
    </r>
    <r>
      <rPr>
        <sz val="11"/>
        <color theme="1"/>
        <rFont val="Calibri"/>
        <family val="2"/>
        <scheme val="minor"/>
      </rPr>
      <t>for</t>
    </r>
    <r>
      <rPr>
        <b/>
        <sz val="11"/>
        <color theme="1"/>
        <rFont val="Calibri"/>
        <family val="2"/>
        <scheme val="minor"/>
      </rPr>
      <t xml:space="preserve"> Domain-0 </t>
    </r>
    <r>
      <rPr>
        <sz val="11"/>
        <color theme="1"/>
        <rFont val="Calibri"/>
        <family val="2"/>
        <scheme val="minor"/>
      </rPr>
      <t>enter IP address for</t>
    </r>
    <r>
      <rPr>
        <b/>
        <sz val="11"/>
        <color theme="1"/>
        <rFont val="Calibri"/>
        <family val="2"/>
        <scheme val="minor"/>
      </rPr>
      <t xml:space="preserve"> Bridge avpublic, Interface eth0</t>
    </r>
  </si>
  <si>
    <r>
      <t xml:space="preserve">For </t>
    </r>
    <r>
      <rPr>
        <b/>
        <sz val="11"/>
        <color theme="1"/>
        <rFont val="Calibri"/>
        <family val="2"/>
        <scheme val="minor"/>
      </rPr>
      <t>Domain-0</t>
    </r>
    <r>
      <rPr>
        <sz val="11"/>
        <color theme="1"/>
        <rFont val="Calibri"/>
        <family val="2"/>
        <scheme val="minor"/>
      </rPr>
      <t xml:space="preserve"> enter Netmask for </t>
    </r>
    <r>
      <rPr>
        <b/>
        <sz val="11"/>
        <color theme="1"/>
        <rFont val="Calibri"/>
        <family val="2"/>
        <scheme val="minor"/>
      </rPr>
      <t>Bridge</t>
    </r>
    <r>
      <rPr>
        <sz val="11"/>
        <color theme="1"/>
        <rFont val="Calibri"/>
        <family val="2"/>
        <scheme val="minor"/>
      </rPr>
      <t xml:space="preserve"> </t>
    </r>
    <r>
      <rPr>
        <b/>
        <sz val="11"/>
        <color theme="1"/>
        <rFont val="Calibri"/>
        <family val="2"/>
        <scheme val="minor"/>
      </rPr>
      <t>avpublic, Interface eth0</t>
    </r>
  </si>
  <si>
    <r>
      <t xml:space="preserve">For </t>
    </r>
    <r>
      <rPr>
        <b/>
        <sz val="11"/>
        <color theme="1"/>
        <rFont val="Calibri"/>
        <family val="2"/>
        <scheme val="minor"/>
      </rPr>
      <t>Console Domain</t>
    </r>
    <r>
      <rPr>
        <sz val="11"/>
        <color theme="1"/>
        <rFont val="Calibri"/>
        <family val="2"/>
        <scheme val="minor"/>
      </rPr>
      <t xml:space="preserve"> enter IP address for </t>
    </r>
    <r>
      <rPr>
        <b/>
        <sz val="11"/>
        <color theme="1"/>
        <rFont val="Calibri"/>
        <family val="2"/>
        <scheme val="minor"/>
      </rPr>
      <t>Bridge</t>
    </r>
    <r>
      <rPr>
        <sz val="11"/>
        <color theme="1"/>
        <rFont val="Calibri"/>
        <family val="2"/>
        <scheme val="minor"/>
      </rPr>
      <t xml:space="preserve"> </t>
    </r>
    <r>
      <rPr>
        <b/>
        <sz val="11"/>
        <color theme="1"/>
        <rFont val="Calibri"/>
        <family val="2"/>
        <scheme val="minor"/>
      </rPr>
      <t>avpublic, Interface eth0</t>
    </r>
  </si>
  <si>
    <t>Domain-0, Bridge avpublic, Interface eth0, IP</t>
  </si>
  <si>
    <t>Domain-0, Bridge avpublic, Interface eth0, Netmask</t>
  </si>
  <si>
    <t>Console Domain, Bridge avpublic, Interface eth0, IP</t>
  </si>
  <si>
    <r>
      <t xml:space="preserve">Confirm that the import succeeds by clicking the Check box on the left end of the row and click view. The Import status screen shows the status of the import. Click </t>
    </r>
    <r>
      <rPr>
        <b/>
        <sz val="11"/>
        <color theme="1"/>
        <rFont val="Calibri"/>
        <family val="2"/>
        <scheme val="minor"/>
      </rPr>
      <t>Manage Elements</t>
    </r>
    <r>
      <rPr>
        <sz val="11"/>
        <color theme="1"/>
        <rFont val="Calibri"/>
        <family val="2"/>
        <scheme val="minor"/>
      </rPr>
      <t xml:space="preserve"> to return to the previous screen.</t>
    </r>
  </si>
  <si>
    <r>
      <t xml:space="preserve">Continuing in  </t>
    </r>
    <r>
      <rPr>
        <b/>
        <sz val="11"/>
        <color theme="1"/>
        <rFont val="Calibri"/>
        <family val="2"/>
        <scheme val="minor"/>
      </rPr>
      <t>Inventory</t>
    </r>
    <r>
      <rPr>
        <sz val="11"/>
        <color theme="1"/>
        <rFont val="Calibri"/>
        <family val="2"/>
        <scheme val="minor"/>
      </rPr>
      <t>-&gt;</t>
    </r>
    <r>
      <rPr>
        <b/>
        <sz val="11"/>
        <color theme="1"/>
        <rFont val="Calibri"/>
        <family val="2"/>
        <scheme val="minor"/>
      </rPr>
      <t>Manage Elements</t>
    </r>
    <r>
      <rPr>
        <sz val="11"/>
        <color theme="1"/>
        <rFont val="Calibri"/>
        <family val="2"/>
        <scheme val="minor"/>
      </rPr>
      <t xml:space="preserve">, select the </t>
    </r>
    <r>
      <rPr>
        <b/>
        <sz val="11"/>
        <color theme="1"/>
        <rFont val="Calibri"/>
        <family val="2"/>
        <scheme val="minor"/>
      </rPr>
      <t>Messaging</t>
    </r>
    <r>
      <rPr>
        <sz val="11"/>
        <color theme="1"/>
        <rFont val="Calibri"/>
        <family val="2"/>
        <scheme val="minor"/>
      </rPr>
      <t xml:space="preserve"> element and click the </t>
    </r>
    <r>
      <rPr>
        <b/>
        <sz val="11"/>
        <color theme="1"/>
        <rFont val="Calibri"/>
        <family val="2"/>
        <scheme val="minor"/>
      </rPr>
      <t>Edit</t>
    </r>
    <r>
      <rPr>
        <sz val="11"/>
        <color theme="1"/>
        <rFont val="Calibri"/>
        <family val="2"/>
        <scheme val="minor"/>
      </rPr>
      <t xml:space="preserve"> button</t>
    </r>
  </si>
  <si>
    <r>
      <t xml:space="preserve">Click on the </t>
    </r>
    <r>
      <rPr>
        <b/>
        <sz val="11"/>
        <color theme="1"/>
        <rFont val="Calibri"/>
        <family val="2"/>
        <scheme val="minor"/>
      </rPr>
      <t>Attributes</t>
    </r>
    <r>
      <rPr>
        <sz val="11"/>
        <color theme="1"/>
        <rFont val="Calibri"/>
        <family val="2"/>
        <scheme val="minor"/>
      </rPr>
      <t xml:space="preserve"> tab</t>
    </r>
  </si>
  <si>
    <r>
      <t xml:space="preserve">Update </t>
    </r>
    <r>
      <rPr>
        <b/>
        <sz val="11"/>
        <color theme="1"/>
        <rFont val="Calibri"/>
        <family val="2"/>
        <scheme val="minor"/>
      </rPr>
      <t>Version</t>
    </r>
    <r>
      <rPr>
        <sz val="11"/>
        <color theme="1"/>
        <rFont val="Calibri"/>
        <family val="2"/>
        <scheme val="minor"/>
      </rPr>
      <t xml:space="preserve"> to 6.3</t>
    </r>
  </si>
  <si>
    <r>
      <t xml:space="preserve">Click on the </t>
    </r>
    <r>
      <rPr>
        <b/>
        <sz val="11"/>
        <color theme="1"/>
        <rFont val="Calibri"/>
        <family val="2"/>
        <scheme val="minor"/>
      </rPr>
      <t>Commit</t>
    </r>
    <r>
      <rPr>
        <sz val="11"/>
        <color theme="1"/>
        <rFont val="Calibri"/>
        <family val="2"/>
        <scheme val="minor"/>
      </rPr>
      <t xml:space="preserve"> button</t>
    </r>
  </si>
  <si>
    <t xml:space="preserve"> Messaging element </t>
  </si>
  <si>
    <t>Attributes</t>
  </si>
  <si>
    <t>(click tab)</t>
  </si>
  <si>
    <t>Version</t>
  </si>
  <si>
    <t>Step: Configure or install HA Standby Server</t>
  </si>
  <si>
    <t>Step: Change SNMP trap information on the HA Standby Server</t>
  </si>
  <si>
    <t>Step: Remove Avaya Aura® Solution for Midsize Enterprise (ME) 6.2.2 template from the HA Standby Server</t>
  </si>
  <si>
    <t>(click Virtual Machine Management, then Templates)</t>
  </si>
  <si>
    <t>(click the Delete button)</t>
  </si>
  <si>
    <t>Step: Configure customer specific Network Parameters for  Avaya Aura® System Platform on the HA Standby Server</t>
  </si>
  <si>
    <r>
      <rPr>
        <sz val="11"/>
        <color rgb="FFFF0000"/>
        <rFont val="Calibri"/>
        <family val="2"/>
        <scheme val="minor"/>
      </rPr>
      <t xml:space="preserve">If configuring a High Availability Standby Server, skip to the </t>
    </r>
    <r>
      <rPr>
        <b/>
        <sz val="11"/>
        <color rgb="FFFF0000"/>
        <rFont val="Calibri"/>
        <family val="2"/>
        <scheme val="minor"/>
      </rPr>
      <t>Configure High Availability</t>
    </r>
    <r>
      <rPr>
        <sz val="11"/>
        <color rgb="FFFF0000"/>
        <rFont val="Calibri"/>
        <family val="2"/>
        <scheme val="minor"/>
      </rPr>
      <t xml:space="preserve"> tab otherwise continue.</t>
    </r>
  </si>
  <si>
    <t xml:space="preserve">Starting and Ending IP address values provided by the DHCP server (optional)
</t>
  </si>
  <si>
    <t>root01 (default value)</t>
  </si>
  <si>
    <t xml:space="preserve">cust01 (default value) </t>
  </si>
  <si>
    <t>Note: NTP server(s) must be reachable from this address.</t>
  </si>
  <si>
    <t>Step: System Configuration - ME Standalone Server and ME Main Server (for HA)</t>
  </si>
  <si>
    <t>Step: ME Installation Wizard</t>
  </si>
  <si>
    <t>Step: Electronic Pre-Installation Worksheet (EPW) selection</t>
  </si>
  <si>
    <r>
      <t xml:space="preserve">Click the </t>
    </r>
    <r>
      <rPr>
        <b/>
        <sz val="11"/>
        <color theme="1"/>
        <rFont val="Calibri"/>
        <family val="2"/>
        <scheme val="minor"/>
      </rPr>
      <t>Browse EPW file</t>
    </r>
    <r>
      <rPr>
        <sz val="11"/>
        <color theme="1"/>
        <rFont val="Calibri"/>
        <family val="2"/>
        <scheme val="minor"/>
      </rPr>
      <t xml:space="preserve"> button, select the EPW to use</t>
    </r>
  </si>
  <si>
    <r>
      <t xml:space="preserve">Click the </t>
    </r>
    <r>
      <rPr>
        <b/>
        <sz val="11"/>
        <color theme="1"/>
        <rFont val="Calibri"/>
        <family val="2"/>
        <scheme val="minor"/>
      </rPr>
      <t>Upload EPW file</t>
    </r>
    <r>
      <rPr>
        <sz val="11"/>
        <color theme="1"/>
        <rFont val="Calibri"/>
        <family val="2"/>
        <scheme val="minor"/>
      </rPr>
      <t xml:space="preserve"> button.</t>
    </r>
  </si>
  <si>
    <r>
      <t xml:space="preserve">If an EPW is not to be used, click the </t>
    </r>
    <r>
      <rPr>
        <b/>
        <sz val="11"/>
        <color indexed="8"/>
        <rFont val="Calibri"/>
        <family val="2"/>
      </rPr>
      <t>Continue without EPW</t>
    </r>
    <r>
      <rPr>
        <sz val="11"/>
        <color theme="1"/>
        <rFont val="Calibri"/>
        <family val="2"/>
        <scheme val="minor"/>
      </rPr>
      <t xml:space="preserve"> </t>
    </r>
    <r>
      <rPr>
        <b/>
        <sz val="11"/>
        <color theme="1"/>
        <rFont val="Calibri"/>
        <family val="2"/>
        <scheme val="minor"/>
      </rPr>
      <t>file</t>
    </r>
    <r>
      <rPr>
        <sz val="11"/>
        <color theme="1"/>
        <rFont val="Calibri"/>
        <family val="2"/>
        <scheme val="minor"/>
      </rPr>
      <t xml:space="preserve"> button and continue below from </t>
    </r>
    <r>
      <rPr>
        <b/>
        <sz val="11"/>
        <color rgb="FFFF0000"/>
        <rFont val="Calibri"/>
        <family val="2"/>
        <scheme val="minor"/>
      </rPr>
      <t xml:space="preserve">Step: ME Installation Wizard </t>
    </r>
  </si>
  <si>
    <t>Browse EPW file (button)</t>
  </si>
  <si>
    <t>Upload EPW file (button)</t>
  </si>
  <si>
    <t>(Click the Browse EPW file button)</t>
  </si>
  <si>
    <t>(Click the Upload EPW file button)</t>
  </si>
  <si>
    <t>Note: The Wizard runs in a pop up window, and the browser may initially block it.</t>
  </si>
  <si>
    <t>ME does not currently support IPv6.</t>
  </si>
  <si>
    <t>Note: If an EPW was used, validate the values presented in the Network Settings page.</t>
  </si>
  <si>
    <r>
      <t xml:space="preserve">Enter </t>
    </r>
    <r>
      <rPr>
        <b/>
        <sz val="11"/>
        <color indexed="8"/>
        <rFont val="Calibri"/>
        <family val="2"/>
      </rPr>
      <t xml:space="preserve">DHCP Pool IP address range </t>
    </r>
    <r>
      <rPr>
        <sz val="11"/>
        <color theme="1"/>
        <rFont val="Calibri"/>
        <family val="2"/>
        <scheme val="minor"/>
      </rPr>
      <t>starting value</t>
    </r>
  </si>
  <si>
    <r>
      <t xml:space="preserve">Enter </t>
    </r>
    <r>
      <rPr>
        <b/>
        <sz val="11"/>
        <color indexed="8"/>
        <rFont val="Calibri"/>
        <family val="2"/>
      </rPr>
      <t>DHCP Pool IP address range</t>
    </r>
    <r>
      <rPr>
        <sz val="11"/>
        <color theme="1"/>
        <rFont val="Calibri"/>
        <family val="2"/>
        <scheme val="minor"/>
      </rPr>
      <t xml:space="preserve"> ending value</t>
    </r>
  </si>
  <si>
    <t>DHCP Pool IP address range (starting value)</t>
  </si>
  <si>
    <t>DHCP Pool IP address range (ending value)</t>
  </si>
  <si>
    <t>Starting DHCP-provided IP Address</t>
  </si>
  <si>
    <t>Ending DHCP-provided IP Address</t>
  </si>
  <si>
    <t>6.3.0.0.18002</t>
  </si>
  <si>
    <t>cust01 (default value)</t>
  </si>
  <si>
    <t>Note: Password must be at least 8 characters and cannot contain the username.</t>
  </si>
  <si>
    <t xml:space="preserve">Note: Password must be at least 8 characters and cannot contain the username. </t>
  </si>
  <si>
    <t>The ME Installation Wizard now automatically pings all the VM IP addresses and aborts if a ping succeeds.</t>
  </si>
  <si>
    <t>(radio button selected)</t>
  </si>
  <si>
    <r>
      <t xml:space="preserve">In the </t>
    </r>
    <r>
      <rPr>
        <b/>
        <sz val="11"/>
        <color indexed="8"/>
        <rFont val="Calibri"/>
        <family val="2"/>
      </rPr>
      <t>Services</t>
    </r>
    <r>
      <rPr>
        <sz val="11"/>
        <color theme="1"/>
        <rFont val="Calibri"/>
        <family val="2"/>
        <scheme val="minor"/>
      </rPr>
      <t xml:space="preserve"> column</t>
    </r>
    <r>
      <rPr>
        <b/>
        <sz val="11"/>
        <color indexed="8"/>
        <rFont val="Calibri"/>
        <family val="2"/>
      </rPr>
      <t>, c</t>
    </r>
    <r>
      <rPr>
        <sz val="11"/>
        <color theme="1"/>
        <rFont val="Calibri"/>
        <family val="2"/>
        <scheme val="minor"/>
      </rPr>
      <t xml:space="preserve">lick on </t>
    </r>
    <r>
      <rPr>
        <b/>
        <sz val="11"/>
        <color indexed="8"/>
        <rFont val="Calibri"/>
        <family val="2"/>
      </rPr>
      <t>Inventory</t>
    </r>
  </si>
  <si>
    <t>exported SMGR xml files zipfile</t>
  </si>
  <si>
    <r>
      <t xml:space="preserve">In the </t>
    </r>
    <r>
      <rPr>
        <b/>
        <sz val="11"/>
        <color theme="1"/>
        <rFont val="Calibri"/>
        <family val="2"/>
        <scheme val="minor"/>
      </rPr>
      <t>Enter new customer login name and password for CM</t>
    </r>
    <r>
      <rPr>
        <sz val="11"/>
        <color theme="1"/>
        <rFont val="Calibri"/>
        <family val="2"/>
        <scheme val="minor"/>
      </rPr>
      <t xml:space="preserve"> section, enter customer Login Name</t>
    </r>
  </si>
  <si>
    <t>SP_Pre-Installation_Wizard_7527.exe</t>
  </si>
  <si>
    <t>CMME0000093</t>
  </si>
  <si>
    <t>Step: Check and if necessary update Messaging Version</t>
  </si>
  <si>
    <t>Step: Verify Regular Expressions</t>
  </si>
  <si>
    <r>
      <t xml:space="preserve">Verify </t>
    </r>
    <r>
      <rPr>
        <b/>
        <sz val="11"/>
        <color theme="1"/>
        <rFont val="Calibri"/>
        <family val="2"/>
        <scheme val="minor"/>
      </rPr>
      <t>SIP domain</t>
    </r>
  </si>
  <si>
    <t>(click Edit button)</t>
  </si>
  <si>
    <r>
      <t xml:space="preserve">Update </t>
    </r>
    <r>
      <rPr>
        <b/>
        <sz val="11"/>
        <color theme="1"/>
        <rFont val="Calibri"/>
        <family val="2"/>
        <scheme val="minor"/>
      </rPr>
      <t>Pattern</t>
    </r>
    <r>
      <rPr>
        <sz val="11"/>
        <color theme="1"/>
        <rFont val="Calibri"/>
        <family val="2"/>
        <scheme val="minor"/>
      </rPr>
      <t xml:space="preserve"> so that domain matches defined </t>
    </r>
    <r>
      <rPr>
        <b/>
        <sz val="11"/>
        <color theme="1"/>
        <rFont val="Calibri"/>
        <family val="2"/>
        <scheme val="minor"/>
      </rPr>
      <t>SIP domain</t>
    </r>
  </si>
  <si>
    <t>Step:  Verify Domain</t>
  </si>
  <si>
    <t>Step: Verify SIP Entities</t>
  </si>
  <si>
    <r>
      <t xml:space="preserve">Verify existence of </t>
    </r>
    <r>
      <rPr>
        <b/>
        <sz val="11"/>
        <color theme="1"/>
        <rFont val="Calibri"/>
        <family val="2"/>
        <scheme val="minor"/>
      </rPr>
      <t>Location</t>
    </r>
  </si>
  <si>
    <r>
      <t xml:space="preserve">Continuing in </t>
    </r>
    <r>
      <rPr>
        <b/>
        <sz val="11"/>
        <color theme="1"/>
        <rFont val="Calibri"/>
        <family val="2"/>
        <scheme val="minor"/>
      </rPr>
      <t>Routing</t>
    </r>
    <r>
      <rPr>
        <sz val="11"/>
        <color theme="1"/>
        <rFont val="Calibri"/>
        <family val="2"/>
        <scheme val="minor"/>
      </rPr>
      <t xml:space="preserve">, click on </t>
    </r>
    <r>
      <rPr>
        <b/>
        <sz val="11"/>
        <color theme="1"/>
        <rFont val="Calibri"/>
        <family val="2"/>
        <scheme val="minor"/>
      </rPr>
      <t>Regular Expressions</t>
    </r>
  </si>
  <si>
    <r>
      <t xml:space="preserve">Continuing in </t>
    </r>
    <r>
      <rPr>
        <b/>
        <sz val="11"/>
        <color theme="1"/>
        <rFont val="Calibri"/>
        <family val="2"/>
        <scheme val="minor"/>
      </rPr>
      <t>Routing</t>
    </r>
    <r>
      <rPr>
        <sz val="11"/>
        <color theme="1"/>
        <rFont val="Calibri"/>
        <family val="2"/>
        <scheme val="minor"/>
      </rPr>
      <t xml:space="preserve">, click on </t>
    </r>
    <r>
      <rPr>
        <b/>
        <sz val="11"/>
        <color theme="1"/>
        <rFont val="Calibri"/>
        <family val="2"/>
        <scheme val="minor"/>
      </rPr>
      <t>Locations</t>
    </r>
  </si>
  <si>
    <t>Step: Verify Location</t>
  </si>
  <si>
    <r>
      <t xml:space="preserve">Continuing in </t>
    </r>
    <r>
      <rPr>
        <b/>
        <sz val="11"/>
        <color theme="1"/>
        <rFont val="Calibri"/>
        <family val="2"/>
        <scheme val="minor"/>
      </rPr>
      <t>Routing</t>
    </r>
    <r>
      <rPr>
        <sz val="11"/>
        <color theme="1"/>
        <rFont val="Calibri"/>
        <family val="2"/>
        <scheme val="minor"/>
      </rPr>
      <t xml:space="preserve">, click on </t>
    </r>
    <r>
      <rPr>
        <b/>
        <sz val="11"/>
        <color theme="1"/>
        <rFont val="Calibri"/>
        <family val="2"/>
        <scheme val="minor"/>
      </rPr>
      <t>SIP Entities</t>
    </r>
    <r>
      <rPr>
        <sz val="11"/>
        <color theme="1"/>
        <rFont val="Calibri"/>
        <family val="2"/>
        <scheme val="minor"/>
      </rPr>
      <t>, verify existence of additional applications</t>
    </r>
  </si>
  <si>
    <t xml:space="preserve">CM, CMM, Presence, and SM should have entries listed here. </t>
  </si>
  <si>
    <r>
      <t xml:space="preserve">Verify </t>
    </r>
    <r>
      <rPr>
        <b/>
        <sz val="11"/>
        <color theme="1"/>
        <rFont val="Calibri"/>
        <family val="2"/>
        <scheme val="minor"/>
      </rPr>
      <t>Pattern</t>
    </r>
    <r>
      <rPr>
        <sz val="11"/>
        <color theme="1"/>
        <rFont val="Calibri"/>
        <family val="2"/>
        <scheme val="minor"/>
      </rPr>
      <t xml:space="preserve"> uses defined </t>
    </r>
    <r>
      <rPr>
        <b/>
        <sz val="11"/>
        <color theme="1"/>
        <rFont val="Calibri"/>
        <family val="2"/>
        <scheme val="minor"/>
      </rPr>
      <t xml:space="preserve">SIP domain </t>
    </r>
    <r>
      <rPr>
        <sz val="11"/>
        <color theme="1"/>
        <rFont val="Calibri"/>
        <family val="2"/>
        <scheme val="minor"/>
      </rPr>
      <t>and update if different. Skip to next step if OK.</t>
    </r>
  </si>
  <si>
    <r>
      <t xml:space="preserve">Update </t>
    </r>
    <r>
      <rPr>
        <b/>
        <sz val="11"/>
        <color theme="1"/>
        <rFont val="Calibri"/>
        <family val="2"/>
        <scheme val="minor"/>
      </rPr>
      <t>Name</t>
    </r>
    <r>
      <rPr>
        <sz val="11"/>
        <color theme="1"/>
        <rFont val="Calibri"/>
        <family val="2"/>
        <scheme val="minor"/>
      </rPr>
      <t xml:space="preserve"> for the Session Manager entry to match the applied customer specific value, i.e. hostname of Session Manager.</t>
    </r>
  </si>
  <si>
    <r>
      <t xml:space="preserve">Select messaging entry and click </t>
    </r>
    <r>
      <rPr>
        <b/>
        <sz val="11"/>
        <color theme="1"/>
        <rFont val="Calibri"/>
        <family val="2"/>
        <scheme val="minor"/>
      </rPr>
      <t>Edit</t>
    </r>
    <r>
      <rPr>
        <sz val="11"/>
        <color theme="1"/>
        <rFont val="Calibri"/>
        <family val="2"/>
        <scheme val="minor"/>
      </rPr>
      <t xml:space="preserve"> button</t>
    </r>
  </si>
  <si>
    <t>Messaging entry(tick box)</t>
  </si>
  <si>
    <r>
      <t xml:space="preserve">On the </t>
    </r>
    <r>
      <rPr>
        <b/>
        <sz val="11"/>
        <color indexed="8"/>
        <rFont val="Calibri"/>
        <family val="2"/>
      </rPr>
      <t>HOME -&gt; Services -&gt; Replication</t>
    </r>
    <r>
      <rPr>
        <sz val="11"/>
        <color theme="1"/>
        <rFont val="Calibri"/>
        <family val="2"/>
        <scheme val="minor"/>
      </rPr>
      <t xml:space="preserve"> page,  Click the checkbox next to </t>
    </r>
    <r>
      <rPr>
        <b/>
        <sz val="11"/>
        <color indexed="8"/>
        <rFont val="Calibri"/>
        <family val="2"/>
      </rPr>
      <t>SessionManagers_6.2fp2</t>
    </r>
  </si>
  <si>
    <t xml:space="preserve">Note: If the SM replica node does not re-appear, or the replication column continues to remain red, you may need to run "initTM" from the SM command line interface. Before doing so, please record the SM Enrollment password, and reset the password's expiration time to 1 day or further. </t>
  </si>
  <si>
    <r>
      <t xml:space="preserve">Select the </t>
    </r>
    <r>
      <rPr>
        <b/>
        <sz val="11"/>
        <color theme="1"/>
        <rFont val="Calibri"/>
        <family val="2"/>
        <scheme val="minor"/>
      </rPr>
      <t>cm1</t>
    </r>
    <r>
      <rPr>
        <sz val="11"/>
        <color theme="1"/>
        <rFont val="Calibri"/>
        <family val="2"/>
        <scheme val="minor"/>
      </rPr>
      <t xml:space="preserve"> entry</t>
    </r>
  </si>
  <si>
    <t>cm1</t>
  </si>
  <si>
    <r>
      <t xml:space="preserve">Click the </t>
    </r>
    <r>
      <rPr>
        <b/>
        <sz val="11"/>
        <color theme="1"/>
        <rFont val="Calibri"/>
        <family val="2"/>
        <scheme val="minor"/>
      </rPr>
      <t>Edit</t>
    </r>
    <r>
      <rPr>
        <sz val="11"/>
        <color theme="1"/>
        <rFont val="Calibri"/>
        <family val="2"/>
        <scheme val="minor"/>
      </rPr>
      <t xml:space="preserve"> button</t>
    </r>
  </si>
  <si>
    <r>
      <t xml:space="preserve">Select </t>
    </r>
    <r>
      <rPr>
        <b/>
        <sz val="11"/>
        <color theme="1"/>
        <rFont val="Calibri"/>
        <family val="2"/>
        <scheme val="minor"/>
      </rPr>
      <t>CM System for SIP Entity</t>
    </r>
    <r>
      <rPr>
        <sz val="11"/>
        <color theme="1"/>
        <rFont val="Calibri"/>
        <family val="2"/>
        <scheme val="minor"/>
      </rPr>
      <t xml:space="preserve"> from the drop down list</t>
    </r>
  </si>
  <si>
    <t>CM System for SIP Entity(drop down list)</t>
  </si>
  <si>
    <r>
      <t xml:space="preserve">Select the </t>
    </r>
    <r>
      <rPr>
        <b/>
        <sz val="11"/>
        <color theme="1"/>
        <rFont val="Calibri"/>
        <family val="2"/>
        <scheme val="minor"/>
      </rPr>
      <t>sm1</t>
    </r>
    <r>
      <rPr>
        <sz val="11"/>
        <color theme="1"/>
        <rFont val="Calibri"/>
        <family val="2"/>
        <scheme val="minor"/>
      </rPr>
      <t xml:space="preserve"> entry</t>
    </r>
  </si>
  <si>
    <t>sm1</t>
  </si>
  <si>
    <r>
      <t xml:space="preserve">Click the </t>
    </r>
    <r>
      <rPr>
        <b/>
        <sz val="11"/>
        <color rgb="FF000000"/>
        <rFont val="Calibri"/>
        <family val="2"/>
        <scheme val="minor"/>
      </rPr>
      <t xml:space="preserve">Edit </t>
    </r>
    <r>
      <rPr>
        <sz val="11"/>
        <color rgb="FF000000"/>
        <rFont val="Calibri"/>
        <family val="2"/>
        <scheme val="minor"/>
      </rPr>
      <t>button</t>
    </r>
  </si>
  <si>
    <t>Edit button</t>
  </si>
  <si>
    <r>
      <t xml:space="preserve">Update </t>
    </r>
    <r>
      <rPr>
        <b/>
        <sz val="11"/>
        <color theme="1"/>
        <rFont val="Calibri"/>
        <family val="2"/>
        <scheme val="minor"/>
      </rPr>
      <t>Name</t>
    </r>
    <r>
      <rPr>
        <sz val="11"/>
        <color theme="1"/>
        <rFont val="Calibri"/>
        <family val="2"/>
        <scheme val="minor"/>
      </rPr>
      <t xml:space="preserve"> to match the applied customer specific value, i.e. hostname of Communication Manager. </t>
    </r>
  </si>
  <si>
    <r>
      <t xml:space="preserve">Continuing in </t>
    </r>
    <r>
      <rPr>
        <b/>
        <sz val="11"/>
        <rFont val="Calibri"/>
        <family val="2"/>
        <scheme val="minor"/>
      </rPr>
      <t>Session Manager</t>
    </r>
    <r>
      <rPr>
        <sz val="11"/>
        <rFont val="Calibri"/>
        <family val="2"/>
        <scheme val="minor"/>
      </rPr>
      <t xml:space="preserve">, click on </t>
    </r>
    <r>
      <rPr>
        <b/>
        <sz val="11"/>
        <rFont val="Calibri"/>
        <family val="2"/>
      </rPr>
      <t>Application Sequences</t>
    </r>
  </si>
  <si>
    <t>Application Sequences (left hand menu)</t>
  </si>
  <si>
    <r>
      <t xml:space="preserve">Note the Synchronization Status for your SM.  If the Synchronization Status is </t>
    </r>
    <r>
      <rPr>
        <b/>
        <sz val="11"/>
        <color indexed="8"/>
        <rFont val="Calibri"/>
        <family val="2"/>
      </rPr>
      <t>Synchronized (Green),</t>
    </r>
    <r>
      <rPr>
        <sz val="11"/>
        <color theme="1"/>
        <rFont val="Calibri"/>
        <family val="2"/>
        <scheme val="minor"/>
      </rPr>
      <t xml:space="preserve"> this step is complete, so go to </t>
    </r>
    <r>
      <rPr>
        <b/>
        <sz val="11"/>
        <color indexed="10"/>
        <rFont val="Calibri"/>
        <family val="2"/>
      </rPr>
      <t>Step: Verify Communication Manager (CM) Application</t>
    </r>
    <r>
      <rPr>
        <sz val="11"/>
        <color theme="1"/>
        <rFont val="Calibri"/>
        <family val="2"/>
        <scheme val="minor"/>
      </rPr>
      <t xml:space="preserve"> below</t>
    </r>
  </si>
  <si>
    <t>Step: Verify Communication Manager (CM) Application</t>
  </si>
  <si>
    <t>Step: Verify Communication Manager (CM) Application Sequence</t>
  </si>
  <si>
    <r>
      <t xml:space="preserve">If the Synchronization Status is </t>
    </r>
    <r>
      <rPr>
        <b/>
        <sz val="11"/>
        <color indexed="8"/>
        <rFont val="Calibri"/>
        <family val="2"/>
      </rPr>
      <t>Unreachable (Red),</t>
    </r>
    <r>
      <rPr>
        <sz val="11"/>
        <color theme="1"/>
        <rFont val="Calibri"/>
        <family val="2"/>
        <scheme val="minor"/>
      </rPr>
      <t xml:space="preserve"> make sure the checkbox for </t>
    </r>
    <r>
      <rPr>
        <b/>
        <sz val="11"/>
        <color indexed="8"/>
        <rFont val="Calibri"/>
        <family val="2"/>
      </rPr>
      <t xml:space="preserve">SessionManagers_6.2fp2 </t>
    </r>
    <r>
      <rPr>
        <sz val="11"/>
        <color theme="1"/>
        <rFont val="Calibri"/>
        <family val="2"/>
        <scheme val="minor"/>
      </rPr>
      <t xml:space="preserve">is checked, and then click the </t>
    </r>
    <r>
      <rPr>
        <b/>
        <sz val="11"/>
        <color indexed="8"/>
        <rFont val="Calibri"/>
        <family val="2"/>
      </rPr>
      <t>Repair</t>
    </r>
    <r>
      <rPr>
        <sz val="11"/>
        <color theme="1"/>
        <rFont val="Calibri"/>
        <family val="2"/>
        <scheme val="minor"/>
      </rPr>
      <t xml:space="preserve"> button</t>
    </r>
  </si>
  <si>
    <r>
      <t xml:space="preserve">Click the </t>
    </r>
    <r>
      <rPr>
        <b/>
        <sz val="11"/>
        <color indexed="8"/>
        <rFont val="Calibri"/>
        <family val="2"/>
      </rPr>
      <t>Browse</t>
    </r>
    <r>
      <rPr>
        <sz val="11"/>
        <color theme="1"/>
        <rFont val="Calibri"/>
        <family val="2"/>
        <scheme val="minor"/>
      </rPr>
      <t xml:space="preserve"> button next to the </t>
    </r>
    <r>
      <rPr>
        <b/>
        <sz val="11"/>
        <color indexed="8"/>
        <rFont val="Calibri"/>
        <family val="2"/>
      </rPr>
      <t>Select File</t>
    </r>
    <r>
      <rPr>
        <sz val="11"/>
        <color theme="1"/>
        <rFont val="Calibri"/>
        <family val="2"/>
        <scheme val="minor"/>
      </rPr>
      <t xml:space="preserve"> box, and locate the file, RTSElements.xml, which was unzipped from the xml zipfile.</t>
    </r>
  </si>
  <si>
    <r>
      <t xml:space="preserve">Navigate to </t>
    </r>
    <r>
      <rPr>
        <b/>
        <sz val="11"/>
        <color indexed="8"/>
        <rFont val="Calibri"/>
        <family val="2"/>
      </rPr>
      <t>Inventory-</t>
    </r>
    <r>
      <rPr>
        <sz val="11"/>
        <color indexed="8"/>
        <rFont val="Calibri"/>
        <family val="2"/>
      </rPr>
      <t>&gt;</t>
    </r>
    <r>
      <rPr>
        <b/>
        <sz val="11"/>
        <color indexed="8"/>
        <rFont val="Calibri"/>
        <family val="2"/>
      </rPr>
      <t>Manage Elements</t>
    </r>
    <r>
      <rPr>
        <sz val="11"/>
        <color theme="1"/>
        <rFont val="Calibri"/>
        <family val="2"/>
        <scheme val="minor"/>
      </rPr>
      <t xml:space="preserve">, select </t>
    </r>
    <r>
      <rPr>
        <b/>
        <sz val="11"/>
        <color indexed="8"/>
        <rFont val="Calibri"/>
        <family val="2"/>
      </rPr>
      <t>Import</t>
    </r>
    <r>
      <rPr>
        <sz val="11"/>
        <color theme="1"/>
        <rFont val="Calibri"/>
        <family val="2"/>
        <scheme val="minor"/>
      </rPr>
      <t xml:space="preserve"> from the </t>
    </r>
    <r>
      <rPr>
        <b/>
        <sz val="11"/>
        <color indexed="8"/>
        <rFont val="Calibri"/>
        <family val="2"/>
      </rPr>
      <t>More Actions</t>
    </r>
    <r>
      <rPr>
        <sz val="11"/>
        <color theme="1"/>
        <rFont val="Calibri"/>
        <family val="2"/>
        <scheme val="minor"/>
      </rPr>
      <t xml:space="preserve"> drop-down.</t>
    </r>
  </si>
  <si>
    <r>
      <t xml:space="preserve">Click the </t>
    </r>
    <r>
      <rPr>
        <b/>
        <sz val="11"/>
        <color indexed="8"/>
        <rFont val="Calibri"/>
        <family val="2"/>
      </rPr>
      <t>Run immediately</t>
    </r>
    <r>
      <rPr>
        <sz val="11"/>
        <color theme="1"/>
        <rFont val="Calibri"/>
        <family val="2"/>
        <scheme val="minor"/>
      </rPr>
      <t xml:space="preserve"> button in the </t>
    </r>
    <r>
      <rPr>
        <b/>
        <sz val="11"/>
        <color indexed="8"/>
        <rFont val="Calibri"/>
        <family val="2"/>
      </rPr>
      <t>Schedule Job</t>
    </r>
    <r>
      <rPr>
        <sz val="11"/>
        <color theme="1"/>
        <rFont val="Calibri"/>
        <family val="2"/>
        <scheme val="minor"/>
      </rPr>
      <t xml:space="preserve"> section.</t>
    </r>
  </si>
  <si>
    <r>
      <t xml:space="preserve">Click the </t>
    </r>
    <r>
      <rPr>
        <b/>
        <sz val="11"/>
        <color indexed="8"/>
        <rFont val="Calibri"/>
        <family val="2"/>
      </rPr>
      <t>Import</t>
    </r>
    <r>
      <rPr>
        <sz val="11"/>
        <color theme="1"/>
        <rFont val="Calibri"/>
        <family val="2"/>
        <scheme val="minor"/>
      </rPr>
      <t xml:space="preserve"> button.</t>
    </r>
  </si>
  <si>
    <t>admin/admin123</t>
  </si>
  <si>
    <t>Step: Login to CDOM to reconfigure Avaya Aura® System Platform software and the Avaya Aura® Solution for Midsize Enterprise (ME) 6.2.2 template</t>
  </si>
  <si>
    <t>Note: When CDOM responds to the browser, deal with untrusted host browser complaint, e.g., accept certificate, etc.</t>
  </si>
  <si>
    <t>Enter the target network CDOM IP Address</t>
  </si>
  <si>
    <t>CDOM IP Address</t>
  </si>
  <si>
    <t>Enter the target network CDOM Hostname</t>
  </si>
  <si>
    <t>CDOM Hostname</t>
  </si>
  <si>
    <t>Due to size and number of virtual machines and the amount of configuration performed by the post-install scripts, configuration typically requires  approximately 1.5 hours.
Important Note: When the template install is complete, check the template install progress message output lines to ensure that all the template installation steps were successful. If you discover that you can no longer see the template install progress display, (because too much time has elapsed or you logged out and back  in,) you can still access it in your CDOM browser session by navigating to Virtual Machine Management -&gt; View Install/Upgrade Log.  If the installation completed with warnings or errors, you must clear the source of the issue(s) or else reinstall System Platform and the ME Template.</t>
  </si>
  <si>
    <t>Note: If you just installed System Platform, you won't be able to access CDOM via browser for 15 minutes after System Platform boots for the first time.  When cdom finally responds to the browser, deal with untrusted host browser complaint, e.g., accept certificate, etc.</t>
  </si>
  <si>
    <t>Verify CDOM IP Address</t>
  </si>
  <si>
    <t xml:space="preserve">Confirm no response to the ping.
Note: If CDOM or DOM0 IP address is already in use, the system will not operate properly, and CDOM may fail to start. </t>
  </si>
  <si>
    <t xml:space="preserve">Confirm no response to the ping. 
Note: If CDOM or DOM0 IP address is already in use, the system will not operate properly, and CDOM may fail to start. </t>
  </si>
  <si>
    <t>Enter cat /etc/hosts, confirm that the DOM0 IP address is 192.168.1.1</t>
  </si>
  <si>
    <t>Enter target network DOM0 IP Address</t>
  </si>
  <si>
    <t>Burn the three ME Template Installation DVDs for the Template that you plan to install.  Skip this step if you already have the 3 ME Template Installation DVDs, or if your server has the template software factory preloaded.</t>
  </si>
  <si>
    <t xml:space="preserve">Note for 6.2.2 release of ME: Please apply all System Manager (SMGR) patches before attempting to license the system. See the Apply Application Patches tab of this workbook for instructions on how to patch System Manager. Once System Manager is patches have been applied, continue with licensing the system. </t>
  </si>
  <si>
    <t>cust/cust01</t>
  </si>
  <si>
    <t xml:space="preserve">Note: Presence Services may restart after the Patch has installed. If this is the case, you will need to reconnect your Putty SSH session, and login again before continuing. </t>
  </si>
  <si>
    <t>Locate and select the downloaded PS Patch files as the source files for the file transfer.</t>
  </si>
  <si>
    <t xml:space="preserve">Browse to PS Patch files in the WinSCP source machine window </t>
  </si>
  <si>
    <t>Click and drag the PS Patch files from the WinSCP source window to /tmp in the WinSCP destination window.</t>
  </si>
  <si>
    <t>Login as cust</t>
  </si>
  <si>
    <r>
      <t xml:space="preserve">Execute </t>
    </r>
    <r>
      <rPr>
        <b/>
        <sz val="11"/>
        <color indexed="8"/>
        <rFont val="Calibri"/>
        <family val="2"/>
      </rPr>
      <t xml:space="preserve">su - root
</t>
    </r>
    <r>
      <rPr>
        <sz val="11"/>
        <color theme="1"/>
        <rFont val="Calibri"/>
        <family val="2"/>
        <scheme val="minor"/>
      </rPr>
      <t>Password is root01</t>
    </r>
  </si>
  <si>
    <r>
      <t xml:space="preserve">(execute the </t>
    </r>
    <r>
      <rPr>
        <b/>
        <sz val="11"/>
        <color indexed="8"/>
        <rFont val="Calibri"/>
        <family val="2"/>
      </rPr>
      <t>su -</t>
    </r>
    <r>
      <rPr>
        <b/>
        <sz val="11"/>
        <color indexed="8"/>
        <rFont val="Calibri"/>
        <family val="2"/>
      </rPr>
      <t xml:space="preserve"> root</t>
    </r>
    <r>
      <rPr>
        <sz val="11"/>
        <color theme="1"/>
        <rFont val="Calibri"/>
        <family val="2"/>
        <scheme val="minor"/>
      </rPr>
      <t xml:space="preserve"> CLI command, password is root01)</t>
    </r>
  </si>
  <si>
    <r>
      <t>If the all entries in the "Value" column are "</t>
    </r>
    <r>
      <rPr>
        <b/>
        <sz val="11"/>
        <color rgb="FF00B050"/>
        <rFont val="Calibri"/>
        <family val="2"/>
        <scheme val="minor"/>
      </rPr>
      <t>0</t>
    </r>
    <r>
      <rPr>
        <b/>
        <sz val="11"/>
        <color rgb="FFFF0000"/>
        <rFont val="Calibri"/>
        <family val="2"/>
        <scheme val="minor"/>
      </rPr>
      <t>",  skip to the next section.</t>
    </r>
  </si>
  <si>
    <r>
      <t xml:space="preserve"> Navigate to </t>
    </r>
    <r>
      <rPr>
        <b/>
        <sz val="11"/>
        <color indexed="8"/>
        <rFont val="Calibri"/>
        <family val="2"/>
      </rPr>
      <t>Services-&gt;Inventory-&gt;Synchronization-&gt; Communication System</t>
    </r>
  </si>
  <si>
    <t>Required Passwords for System Platform - Pre-Staged SW</t>
  </si>
  <si>
    <t>Required Passwords for System Platform - No Pre-Staged SW</t>
  </si>
  <si>
    <r>
      <rPr>
        <b/>
        <u/>
        <sz val="12"/>
        <rFont val="Calibri"/>
        <family val="2"/>
      </rPr>
      <t>NOTE:</t>
    </r>
    <r>
      <rPr>
        <sz val="12"/>
        <rFont val="Calibri"/>
        <family val="2"/>
      </rPr>
      <t xml:space="preserve"> During System Platform Installation (no Pre-Staged SW), you are asked to provide passwords for four login accounts: admin, cust, root, and ldap.  The default passwords are admin01, cust01, root01, and root01 (the ldap user also uses root01 as the default).</t>
    </r>
  </si>
  <si>
    <t>Power-up the ME server using front-panel reset button.   Immediately insert the System Platform Installation media in the ME server CD/DVD drive.</t>
  </si>
  <si>
    <t>(Power-up ME server, insert media into ME Server CD/DVD drive)</t>
  </si>
  <si>
    <t>Note: hostnames must be a minimum of 3 characters.</t>
  </si>
  <si>
    <t xml:space="preserve">Implementing Avaya Aura® Solution for Midsize Enterprise (ME)
</t>
  </si>
  <si>
    <r>
      <rPr>
        <b/>
        <u/>
        <sz val="12"/>
        <rFont val="Calibri"/>
        <family val="2"/>
      </rPr>
      <t>NOTE:</t>
    </r>
    <r>
      <rPr>
        <sz val="12"/>
        <rFont val="Calibri"/>
        <family val="2"/>
      </rPr>
      <t xml:space="preserve"> Starting with the release of ME 6.2.2, the Installation Guide, </t>
    </r>
    <r>
      <rPr>
        <b/>
        <i/>
        <sz val="12"/>
        <rFont val="Calibri"/>
        <family val="2"/>
      </rPr>
      <t>Implementing Avaya Aura® Solution for Midsize Enterprise (ME)</t>
    </r>
    <r>
      <rPr>
        <sz val="12"/>
        <rFont val="Calibri"/>
        <family val="2"/>
      </rPr>
      <t>will more closely follow the format of this document. However, the Installation Guide will contain more detail for the different steps of installing ME. This document can be found at support.avaya.com:</t>
    </r>
  </si>
  <si>
    <t>9630SIP_DEFAULT_CM_6_3</t>
  </si>
  <si>
    <t>DEFAULT_CMM_6_3</t>
  </si>
  <si>
    <r>
      <t>From</t>
    </r>
    <r>
      <rPr>
        <b/>
        <sz val="11"/>
        <color indexed="8"/>
        <rFont val="Calibri"/>
        <family val="2"/>
      </rPr>
      <t xml:space="preserve"> Template</t>
    </r>
    <r>
      <rPr>
        <sz val="11"/>
        <color theme="1"/>
        <rFont val="Calibri"/>
        <family val="2"/>
        <scheme val="minor"/>
      </rPr>
      <t xml:space="preserve"> drop down select DEFAULT_CMM_6_3</t>
    </r>
  </si>
  <si>
    <t>Install the Presence Services patch</t>
  </si>
  <si>
    <t>Unzip the Presence Services patch zipfile</t>
  </si>
  <si>
    <t>Stop the Presence Services application</t>
  </si>
  <si>
    <t>Repeat for each applicable PS patch in turn, updating the patch filename as necessary.</t>
  </si>
  <si>
    <t>Note: All output lines that begin with "Process" must show "not monitored" before you can proceed.</t>
  </si>
  <si>
    <t>Note: Do NOT run the command without the parameter, "autoInstall_Presence_Services.properties"!  If you do, the command will hang indefinitely, waiting for a GUI that cannot launch, (i.e., this patch install is command line  only).</t>
  </si>
  <si>
    <t>Note: Deal with untrusted host browser complaint, e.g., accept certificate, etc.</t>
  </si>
  <si>
    <t>Note: If the services aren't green, wait 10 minutes and if the services still aren't green, reboot presence from System Platform.</t>
  </si>
  <si>
    <t>Note: Requires Messaging Version to be set to 6.3 on System Manager Manage Elements for this template to be displayed.</t>
  </si>
  <si>
    <t>Note: if the label is present, then the Midsize Enterprise 6.2.2 template has been pre-staged and configured on the server  using default values. If the label is not present, no software is loaded on the server.</t>
  </si>
  <si>
    <t>Services_VM-3.0.0.0.11.iso</t>
  </si>
  <si>
    <t>Skip this step if you already have an Installation DVD for System Platform</t>
  </si>
  <si>
    <t>Burn a DVD using the System Platform .iso image.</t>
  </si>
  <si>
    <t>Step: Create a System Platform Installation DVD</t>
  </si>
  <si>
    <t>Enter the Download Pub ID for System Platform 6.3.0 release</t>
  </si>
  <si>
    <t>Step: Download ME template software files</t>
  </si>
  <si>
    <t>Step: Download System Platform and Services VM software files</t>
  </si>
  <si>
    <t>Burn a DVD using the Services VM .iso image.</t>
  </si>
  <si>
    <t>Note: Only necessary for systems that have not been Pre-Staged.</t>
  </si>
  <si>
    <r>
      <t xml:space="preserve">Navigate to </t>
    </r>
    <r>
      <rPr>
        <b/>
        <sz val="11"/>
        <color theme="1"/>
        <rFont val="Calibri"/>
        <family val="2"/>
        <scheme val="minor"/>
      </rPr>
      <t>Virtual Machine Management  -&gt; Templates</t>
    </r>
  </si>
  <si>
    <t>Step: Upgrade Services VM</t>
  </si>
  <si>
    <r>
      <t xml:space="preserve">Select the correct ovf file from the </t>
    </r>
    <r>
      <rPr>
        <b/>
        <sz val="11"/>
        <color theme="1"/>
        <rFont val="Calibri"/>
        <family val="2"/>
        <scheme val="minor"/>
      </rPr>
      <t>Select Template</t>
    </r>
    <r>
      <rPr>
        <sz val="11"/>
        <color theme="1"/>
        <rFont val="Calibri"/>
        <family val="2"/>
        <scheme val="minor"/>
      </rPr>
      <t xml:space="preserve"> folder depending on server type:
     - HP DL360G7: </t>
    </r>
    <r>
      <rPr>
        <b/>
        <sz val="11"/>
        <color theme="1"/>
        <rFont val="Calibri"/>
        <family val="2"/>
        <scheme val="minor"/>
      </rPr>
      <t xml:space="preserve">Services_VM_Small.ovf 
</t>
    </r>
    <r>
      <rPr>
        <sz val="11"/>
        <color theme="1"/>
        <rFont val="Calibri"/>
        <family val="2"/>
        <scheme val="minor"/>
      </rPr>
      <t xml:space="preserve">     - HP DL360PG8: </t>
    </r>
    <r>
      <rPr>
        <b/>
        <sz val="11"/>
        <color theme="1"/>
        <rFont val="Calibri"/>
        <family val="2"/>
        <scheme val="minor"/>
      </rPr>
      <t>Services_VM_Medium.ovf</t>
    </r>
  </si>
  <si>
    <t>Step: Create a Services VM Installation DVD</t>
  </si>
  <si>
    <t>Step: Copy SVM template files from DVD to Server Hard Drive</t>
  </si>
  <si>
    <r>
      <t xml:space="preserve">Click </t>
    </r>
    <r>
      <rPr>
        <b/>
        <sz val="11"/>
        <rFont val="Calibri"/>
        <family val="2"/>
      </rPr>
      <t>View DVD/CD</t>
    </r>
    <r>
      <rPr>
        <sz val="11"/>
        <rFont val="Calibri"/>
        <family val="2"/>
      </rPr>
      <t xml:space="preserve"> and verify that all files have a checkmark next to them.</t>
    </r>
  </si>
  <si>
    <t>Copy takes ~4 minutes.</t>
  </si>
  <si>
    <t>/vsp-template/Services_VM</t>
  </si>
  <si>
    <r>
      <t xml:space="preserve">When complete, eject the disc (using the eject feature of the web console)
    - Navigate to </t>
    </r>
    <r>
      <rPr>
        <b/>
        <sz val="11"/>
        <color theme="1"/>
        <rFont val="Calibri"/>
        <family val="2"/>
        <scheme val="minor"/>
      </rPr>
      <t>Server Management -&gt; Eject CD / DVD</t>
    </r>
    <r>
      <rPr>
        <sz val="11"/>
        <color theme="1"/>
        <rFont val="Calibri"/>
        <family val="2"/>
        <scheme val="minor"/>
      </rPr>
      <t xml:space="preserve"> from the menu on the left.
    - Click </t>
    </r>
    <r>
      <rPr>
        <b/>
        <sz val="11"/>
        <color theme="1"/>
        <rFont val="Calibri"/>
        <family val="2"/>
        <scheme val="minor"/>
      </rPr>
      <t>Eject</t>
    </r>
  </si>
  <si>
    <t>Eject (Button)</t>
  </si>
  <si>
    <t>Upgrade (Button)</t>
  </si>
  <si>
    <r>
      <t xml:space="preserve">Click </t>
    </r>
    <r>
      <rPr>
        <b/>
        <sz val="11"/>
        <color theme="1"/>
        <rFont val="Calibri"/>
        <family val="2"/>
        <scheme val="minor"/>
      </rPr>
      <t>Upgrade</t>
    </r>
    <r>
      <rPr>
        <sz val="11"/>
        <color theme="1"/>
        <rFont val="Calibri"/>
        <family val="2"/>
        <scheme val="minor"/>
      </rPr>
      <t xml:space="preserve"> for the Services VM template</t>
    </r>
  </si>
  <si>
    <r>
      <t>Click</t>
    </r>
    <r>
      <rPr>
        <b/>
        <sz val="11"/>
        <color theme="1"/>
        <rFont val="Calibri"/>
        <family val="2"/>
        <scheme val="minor"/>
      </rPr>
      <t xml:space="preserve"> Search</t>
    </r>
  </si>
  <si>
    <r>
      <t xml:space="preserve">Click on </t>
    </r>
    <r>
      <rPr>
        <b/>
        <sz val="11"/>
        <color theme="1"/>
        <rFont val="Calibri"/>
        <family val="2"/>
        <scheme val="minor"/>
      </rPr>
      <t>Select</t>
    </r>
  </si>
  <si>
    <t>Select (Button)</t>
  </si>
  <si>
    <r>
      <t xml:space="preserve">Click on </t>
    </r>
    <r>
      <rPr>
        <b/>
        <sz val="11"/>
        <color theme="1"/>
        <rFont val="Calibri"/>
        <family val="2"/>
        <scheme val="minor"/>
      </rPr>
      <t>Install</t>
    </r>
  </si>
  <si>
    <t>Install (Button)</t>
  </si>
  <si>
    <r>
      <t xml:space="preserve">The </t>
    </r>
    <r>
      <rPr>
        <b/>
        <sz val="11"/>
        <color theme="1"/>
        <rFont val="Calibri"/>
        <family val="2"/>
        <scheme val="minor"/>
      </rPr>
      <t>Template Network Configuration</t>
    </r>
    <r>
      <rPr>
        <sz val="11"/>
        <color theme="1"/>
        <rFont val="Calibri"/>
        <family val="2"/>
        <scheme val="minor"/>
      </rPr>
      <t xml:space="preserve"> page is displayed, click on </t>
    </r>
    <r>
      <rPr>
        <b/>
        <sz val="11"/>
        <color theme="1"/>
        <rFont val="Calibri"/>
        <family val="2"/>
        <scheme val="minor"/>
      </rPr>
      <t>Save</t>
    </r>
  </si>
  <si>
    <r>
      <t xml:space="preserve">The </t>
    </r>
    <r>
      <rPr>
        <b/>
        <sz val="11"/>
        <color theme="1"/>
        <rFont val="Calibri"/>
        <family val="2"/>
        <scheme val="minor"/>
      </rPr>
      <t>Template Details page</t>
    </r>
    <r>
      <rPr>
        <sz val="11"/>
        <color theme="1"/>
        <rFont val="Calibri"/>
        <family val="2"/>
        <scheme val="minor"/>
      </rPr>
      <t xml:space="preserve"> is displayed, check the Services VM </t>
    </r>
    <r>
      <rPr>
        <b/>
        <sz val="11"/>
        <color theme="1"/>
        <rFont val="Calibri"/>
        <family val="2"/>
        <scheme val="minor"/>
      </rPr>
      <t xml:space="preserve">System Properties </t>
    </r>
    <r>
      <rPr>
        <sz val="11"/>
        <color theme="1"/>
        <rFont val="Calibri"/>
        <family val="2"/>
        <scheme val="minor"/>
      </rPr>
      <t xml:space="preserve">and then click </t>
    </r>
    <r>
      <rPr>
        <b/>
        <sz val="11"/>
        <color theme="1"/>
        <rFont val="Calibri"/>
        <family val="2"/>
        <scheme val="minor"/>
      </rPr>
      <t>Install</t>
    </r>
  </si>
  <si>
    <r>
      <t xml:space="preserve">The </t>
    </r>
    <r>
      <rPr>
        <b/>
        <sz val="11"/>
        <color theme="1"/>
        <rFont val="Calibri"/>
        <family val="2"/>
        <scheme val="minor"/>
      </rPr>
      <t>Template Upgrade In Progress</t>
    </r>
    <r>
      <rPr>
        <sz val="11"/>
        <color theme="1"/>
        <rFont val="Calibri"/>
        <family val="2"/>
        <scheme val="minor"/>
      </rPr>
      <t xml:space="preserve"> page is displayed, wait for upgrade to complete</t>
    </r>
  </si>
  <si>
    <t>Upgrade takes ~10 minutes</t>
  </si>
  <si>
    <r>
      <t>Click on</t>
    </r>
    <r>
      <rPr>
        <b/>
        <sz val="11"/>
        <color theme="1"/>
        <rFont val="Calibri"/>
        <family val="2"/>
        <scheme val="minor"/>
      </rPr>
      <t xml:space="preserve"> Commit Installation</t>
    </r>
  </si>
  <si>
    <t>Commit Installation (Button)</t>
  </si>
  <si>
    <r>
      <t xml:space="preserve">Navigate to </t>
    </r>
    <r>
      <rPr>
        <b/>
        <sz val="11"/>
        <color theme="1"/>
        <rFont val="Calibri"/>
        <family val="2"/>
        <scheme val="minor"/>
      </rPr>
      <t>Virtual Machine Management  -&gt; Manage</t>
    </r>
  </si>
  <si>
    <r>
      <t xml:space="preserve">Check that the </t>
    </r>
    <r>
      <rPr>
        <b/>
        <sz val="11"/>
        <color theme="1"/>
        <rFont val="Calibri"/>
        <family val="2"/>
        <scheme val="minor"/>
      </rPr>
      <t>Version</t>
    </r>
    <r>
      <rPr>
        <sz val="11"/>
        <color theme="1"/>
        <rFont val="Calibri"/>
        <family val="2"/>
        <scheme val="minor"/>
      </rPr>
      <t xml:space="preserve"> of the </t>
    </r>
    <r>
      <rPr>
        <b/>
        <sz val="11"/>
        <color theme="1"/>
        <rFont val="Calibri"/>
        <family val="2"/>
        <scheme val="minor"/>
      </rPr>
      <t>services_vm</t>
    </r>
    <r>
      <rPr>
        <sz val="11"/>
        <color theme="1"/>
        <rFont val="Calibri"/>
        <family val="2"/>
        <scheme val="minor"/>
      </rPr>
      <t xml:space="preserve"> now displays the upgraded version</t>
    </r>
  </si>
  <si>
    <r>
      <t xml:space="preserve">Check that the </t>
    </r>
    <r>
      <rPr>
        <b/>
        <sz val="11"/>
        <color theme="1"/>
        <rFont val="Calibri"/>
        <family val="2"/>
        <scheme val="minor"/>
      </rPr>
      <t>Application State</t>
    </r>
    <r>
      <rPr>
        <sz val="11"/>
        <color theme="1"/>
        <rFont val="Calibri"/>
        <family val="2"/>
        <scheme val="minor"/>
      </rPr>
      <t xml:space="preserve"> of the </t>
    </r>
    <r>
      <rPr>
        <b/>
        <sz val="11"/>
        <color theme="1"/>
        <rFont val="Calibri"/>
        <family val="2"/>
        <scheme val="minor"/>
      </rPr>
      <t>services_vm</t>
    </r>
    <r>
      <rPr>
        <sz val="11"/>
        <color theme="1"/>
        <rFont val="Calibri"/>
        <family val="2"/>
        <scheme val="minor"/>
      </rPr>
      <t xml:space="preserve"> is</t>
    </r>
    <r>
      <rPr>
        <b/>
        <sz val="11"/>
        <color theme="1"/>
        <rFont val="Calibri"/>
        <family val="2"/>
        <scheme val="minor"/>
      </rPr>
      <t xml:space="preserve"> Running</t>
    </r>
  </si>
  <si>
    <r>
      <t xml:space="preserve">Select </t>
    </r>
    <r>
      <rPr>
        <b/>
        <sz val="11"/>
        <color theme="1"/>
        <rFont val="Calibri"/>
        <family val="2"/>
        <scheme val="minor"/>
      </rPr>
      <t>SP Server</t>
    </r>
    <r>
      <rPr>
        <sz val="11"/>
        <color theme="1"/>
        <rFont val="Calibri"/>
        <family val="2"/>
        <scheme val="minor"/>
      </rPr>
      <t xml:space="preserve"> from </t>
    </r>
    <r>
      <rPr>
        <b/>
        <sz val="11"/>
        <color theme="1"/>
        <rFont val="Calibri"/>
        <family val="2"/>
        <scheme val="minor"/>
      </rPr>
      <t>Install Template From</t>
    </r>
  </si>
  <si>
    <t xml:space="preserve">    - Services_VM_Small.ovf (HP DL360G7)
    - Services_VM_Medium.ovf (HP DL360PG8)</t>
  </si>
  <si>
    <t>Login to System Platform webconsole as admin</t>
  </si>
  <si>
    <t>Confirm that /vsp-template has sufficient space for the Services VM template</t>
  </si>
  <si>
    <t>Search (Button)</t>
  </si>
  <si>
    <t>Virtual Machine Management  -&gt; Templates</t>
  </si>
  <si>
    <t>(CD/DVD drive)</t>
  </si>
  <si>
    <t>(insert the CD/DVD)</t>
  </si>
  <si>
    <t>Insert the DVD that contains the Services VM update into the ME Server CD/DVD drive</t>
  </si>
  <si>
    <r>
      <t xml:space="preserve">Navigate to </t>
    </r>
    <r>
      <rPr>
        <b/>
        <sz val="11"/>
        <rFont val="Calibri"/>
        <family val="2"/>
      </rPr>
      <t>Server Management</t>
    </r>
    <r>
      <rPr>
        <sz val="11"/>
        <rFont val="Calibri"/>
        <family val="2"/>
      </rPr>
      <t xml:space="preserve"> -&gt; </t>
    </r>
    <r>
      <rPr>
        <b/>
        <sz val="11"/>
        <rFont val="Calibri"/>
        <family val="2"/>
      </rPr>
      <t>File Manager</t>
    </r>
  </si>
  <si>
    <t>Server Management -&gt; File Manager</t>
  </si>
  <si>
    <t>(Upgrade In Progress log)</t>
  </si>
  <si>
    <t>Virtual Machine Management  -&gt; Manage</t>
  </si>
  <si>
    <t>(services_vm Version)</t>
  </si>
  <si>
    <t>(upgraded services_vm version)</t>
  </si>
  <si>
    <t>(services_vm Application State)</t>
  </si>
  <si>
    <r>
      <t>(Look for  "</t>
    </r>
    <r>
      <rPr>
        <b/>
        <sz val="11"/>
        <color theme="1"/>
        <rFont val="Calibri"/>
        <family val="2"/>
        <scheme val="minor"/>
      </rPr>
      <t>****** Succeeded ******"</t>
    </r>
    <r>
      <rPr>
        <sz val="11"/>
        <color theme="1"/>
        <rFont val="Calibri"/>
        <family val="2"/>
        <scheme val="minor"/>
      </rPr>
      <t xml:space="preserve"> log entry)</t>
    </r>
  </si>
  <si>
    <r>
      <t xml:space="preserve">Click </t>
    </r>
    <r>
      <rPr>
        <b/>
        <sz val="11"/>
        <rFont val="Calibri"/>
        <family val="2"/>
        <scheme val="minor"/>
      </rPr>
      <t>Finalize copy</t>
    </r>
  </si>
  <si>
    <t>Copy from Server DVD/CD</t>
  </si>
  <si>
    <r>
      <t xml:space="preserve">Click </t>
    </r>
    <r>
      <rPr>
        <b/>
        <sz val="11"/>
        <rFont val="Calibri"/>
        <family val="2"/>
      </rPr>
      <t>Copy Files</t>
    </r>
    <r>
      <rPr>
        <sz val="11"/>
        <rFont val="Calibri"/>
        <family val="2"/>
      </rPr>
      <t xml:space="preserve"> and wait for the copy to complete</t>
    </r>
  </si>
  <si>
    <r>
      <t xml:space="preserve">In the </t>
    </r>
    <r>
      <rPr>
        <b/>
        <sz val="11"/>
        <rFont val="Calibri"/>
        <family val="2"/>
        <scheme val="minor"/>
      </rPr>
      <t>Copy from Server DVD/CD</t>
    </r>
    <r>
      <rPr>
        <sz val="11"/>
        <rFont val="Calibri"/>
        <family val="2"/>
        <scheme val="minor"/>
      </rPr>
      <t xml:space="preserve"> section, verify that </t>
    </r>
    <r>
      <rPr>
        <b/>
        <sz val="11"/>
        <rFont val="Calibri"/>
        <family val="2"/>
        <scheme val="minor"/>
      </rPr>
      <t>Services_VM</t>
    </r>
    <r>
      <rPr>
        <sz val="11"/>
        <rFont val="Calibri"/>
        <family val="2"/>
        <scheme val="minor"/>
      </rPr>
      <t xml:space="preserve"> is selected from the drop-down list. If entry is not present in the drop-down list, enter directory for the Services VM template upgrade files.</t>
    </r>
  </si>
  <si>
    <t>Service Pack has been successfully installed.</t>
  </si>
  <si>
    <t>Confirm that the Service Pack successfully installs</t>
  </si>
  <si>
    <r>
      <t xml:space="preserve">Enter the </t>
    </r>
    <r>
      <rPr>
        <b/>
        <sz val="11"/>
        <color theme="1"/>
        <rFont val="Calibri"/>
        <family val="2"/>
        <scheme val="minor"/>
      </rPr>
      <t>monit summary</t>
    </r>
    <r>
      <rPr>
        <sz val="11"/>
        <color theme="1"/>
        <rFont val="Calibri"/>
        <family val="2"/>
        <scheme val="minor"/>
      </rPr>
      <t xml:space="preserve"> command to confirm that all presence processes are </t>
    </r>
    <r>
      <rPr>
        <b/>
        <sz val="11"/>
        <color theme="1"/>
        <rFont val="Calibri"/>
        <family val="2"/>
        <scheme val="minor"/>
      </rPr>
      <t>Running</t>
    </r>
    <r>
      <rPr>
        <sz val="11"/>
        <color theme="1"/>
        <rFont val="Calibri"/>
        <family val="2"/>
        <scheme val="minor"/>
      </rPr>
      <t xml:space="preserve"> before proceeding.</t>
    </r>
  </si>
  <si>
    <t>Note: All output lines that begin with "Process" must show "Running" before proceeding.</t>
  </si>
  <si>
    <r>
      <t xml:space="preserve">Login to the System Manager web console and navigate to </t>
    </r>
    <r>
      <rPr>
        <b/>
        <sz val="11"/>
        <color theme="1"/>
        <rFont val="Calibri"/>
        <family val="2"/>
        <scheme val="minor"/>
      </rPr>
      <t>Services -&gt; Replication</t>
    </r>
  </si>
  <si>
    <t>Services -&gt; Replication</t>
  </si>
  <si>
    <t>Change to the installer directory</t>
  </si>
  <si>
    <t>cd PS-INSTALLER</t>
  </si>
  <si>
    <t>SCEP_PASSWORD=&lt;current SMGR enrollment password (without brackets)&gt;</t>
  </si>
  <si>
    <t>Add/edit the following line: SCEP_PASSWORD=&lt;current SMGR enrollment password (without brackets)&gt;</t>
  </si>
  <si>
    <t>SCEP_PASSWORD</t>
  </si>
  <si>
    <r>
      <t xml:space="preserve">Change the user to </t>
    </r>
    <r>
      <rPr>
        <b/>
        <sz val="11"/>
        <color theme="1"/>
        <rFont val="Calibri"/>
        <family val="2"/>
        <scheme val="minor"/>
      </rPr>
      <t>root</t>
    </r>
  </si>
  <si>
    <r>
      <t xml:space="preserve">Change to the directory where the zip file is located and extract the files using the </t>
    </r>
    <r>
      <rPr>
        <b/>
        <sz val="11"/>
        <color theme="1"/>
        <rFont val="Calibri"/>
        <family val="2"/>
        <scheme val="minor"/>
      </rPr>
      <t>unzip</t>
    </r>
    <r>
      <rPr>
        <sz val="11"/>
        <color theme="1"/>
        <rFont val="Calibri"/>
        <family val="2"/>
        <scheme val="minor"/>
      </rPr>
      <t xml:space="preserve"> command.</t>
    </r>
  </si>
  <si>
    <r>
      <t xml:space="preserve">Edit the file named </t>
    </r>
    <r>
      <rPr>
        <b/>
        <sz val="11"/>
        <color theme="1"/>
        <rFont val="Calibri"/>
        <family val="2"/>
        <scheme val="minor"/>
      </rPr>
      <t>autoUpgrade_PS.properties</t>
    </r>
  </si>
  <si>
    <r>
      <t xml:space="preserve">Click </t>
    </r>
    <r>
      <rPr>
        <b/>
        <sz val="11"/>
        <color theme="1"/>
        <rFont val="Calibri"/>
        <family val="2"/>
        <scheme val="minor"/>
      </rPr>
      <t>Yes</t>
    </r>
    <r>
      <rPr>
        <sz val="11"/>
        <color theme="1"/>
        <rFont val="Calibri"/>
        <family val="2"/>
        <scheme val="minor"/>
      </rPr>
      <t xml:space="preserve"> button in </t>
    </r>
    <r>
      <rPr>
        <b/>
        <sz val="11"/>
        <color theme="1"/>
        <rFont val="Calibri"/>
        <family val="2"/>
        <scheme val="minor"/>
      </rPr>
      <t>Potential Security Breach</t>
    </r>
    <r>
      <rPr>
        <sz val="11"/>
        <color theme="1"/>
        <rFont val="Calibri"/>
        <family val="2"/>
        <scheme val="minor"/>
      </rPr>
      <t xml:space="preserve"> dialog box</t>
    </r>
  </si>
  <si>
    <r>
      <t xml:space="preserve">Login as </t>
    </r>
    <r>
      <rPr>
        <b/>
        <sz val="11"/>
        <color theme="1"/>
        <rFont val="Calibri"/>
        <family val="2"/>
        <scheme val="minor"/>
      </rPr>
      <t>cust</t>
    </r>
  </si>
  <si>
    <t>(execute the su root CLI command, password is root01)</t>
  </si>
  <si>
    <r>
      <t xml:space="preserve">Ensure that the PS </t>
    </r>
    <r>
      <rPr>
        <b/>
        <sz val="11"/>
        <color theme="1"/>
        <rFont val="Calibri"/>
        <family val="2"/>
        <scheme val="minor"/>
      </rPr>
      <t>Replica Group</t>
    </r>
    <r>
      <rPr>
        <sz val="11"/>
        <color theme="1"/>
        <rFont val="Calibri"/>
        <family val="2"/>
        <scheme val="minor"/>
      </rPr>
      <t xml:space="preserve"> is in a </t>
    </r>
    <r>
      <rPr>
        <b/>
        <sz val="11"/>
        <color theme="1"/>
        <rFont val="Calibri"/>
        <family val="2"/>
        <scheme val="minor"/>
      </rPr>
      <t>Synchronized</t>
    </r>
    <r>
      <rPr>
        <sz val="11"/>
        <color theme="1"/>
        <rFont val="Calibri"/>
        <family val="2"/>
        <scheme val="minor"/>
      </rPr>
      <t xml:space="preserve"> state.</t>
    </r>
  </si>
  <si>
    <t>(PS Replica Group)</t>
  </si>
  <si>
    <t>Note: All output lines that begin with "Process" must show "Running" before you can proceed.</t>
  </si>
  <si>
    <t>Note: for PS 6.2.0 versions, use craft/craft01 to login.</t>
  </si>
  <si>
    <r>
      <t xml:space="preserve">(execute command </t>
    </r>
    <r>
      <rPr>
        <b/>
        <sz val="11"/>
        <color theme="1"/>
        <rFont val="Calibri"/>
        <family val="2"/>
        <scheme val="minor"/>
      </rPr>
      <t>vi autoUpgrade_PS.properties</t>
    </r>
    <r>
      <rPr>
        <sz val="11"/>
        <color theme="1"/>
        <rFont val="Calibri"/>
        <family val="2"/>
        <scheme val="minor"/>
      </rPr>
      <t xml:space="preserve"> or use other editor)</t>
    </r>
  </si>
  <si>
    <t>CMME0000102</t>
  </si>
  <si>
    <r>
      <rPr>
        <sz val="11"/>
        <color rgb="FFFF0000"/>
        <rFont val="Calibri"/>
        <family val="2"/>
        <scheme val="minor"/>
      </rPr>
      <t xml:space="preserve">Note: Assumes SAL Gateway enabled. See </t>
    </r>
    <r>
      <rPr>
        <b/>
        <sz val="11"/>
        <color rgb="FFFF0000"/>
        <rFont val="Calibri"/>
        <family val="2"/>
        <scheme val="minor"/>
      </rPr>
      <t>Server Management -&gt; SAL Gateway Management</t>
    </r>
    <r>
      <rPr>
        <sz val="11"/>
        <color rgb="FFFF0000"/>
        <rFont val="Calibri"/>
        <family val="2"/>
        <scheme val="minor"/>
      </rPr>
      <t>.</t>
    </r>
  </si>
  <si>
    <t>Note, assumes PS 6.2.2 has been applied otherwise credentials are craft/craft01</t>
  </si>
  <si>
    <t>Skip if Services VM not enabled - Enter the target network Services VM IP Address</t>
  </si>
  <si>
    <t>Skip if Services VM not enabled - Enter the target network Services VM Hostname</t>
  </si>
  <si>
    <t>Enable Services VM ?</t>
  </si>
  <si>
    <t>Note: This login will be applied to CM.</t>
  </si>
  <si>
    <t>Note: Password minimum length of 6 characters.</t>
  </si>
  <si>
    <t>Note: Automatically set by the Installation Wizard</t>
  </si>
  <si>
    <t>Note: These AES password fields can be left blank if specific passwords have not been requested.</t>
  </si>
  <si>
    <t>Re-type Authentication Protocol Password</t>
  </si>
  <si>
    <t>Re-type Privacy Protocol Password</t>
  </si>
  <si>
    <t>Execute the upgrade script.</t>
  </si>
  <si>
    <t>Login using the customer account.</t>
  </si>
  <si>
    <t>When the copy completes, close the WinSCP window.</t>
  </si>
  <si>
    <t>Click "OK" button in the "Terminate session?" dialogue box.</t>
  </si>
  <si>
    <t>Click "Yes" button in "Potential Security Breach" dialog box.</t>
  </si>
  <si>
    <t>Step: Disable the Services VM on the HA Standby Server</t>
  </si>
  <si>
    <t>**** ATTENTION ****
Note: The Avaya Aura® Solution for Midsize Enterprise R6.2.2
software was pre-staged on this server, ready to be configured with customer specific values. 
After deployment, make sure that the latest approved updates are applied. For additional details, refer to the insert in the
accessory box and the installation documentation.</t>
  </si>
  <si>
    <t>WARNING: The system is pre-staged using the 192.168.1.0 network. Before connecting, ensure that this network is not already in use.</t>
  </si>
  <si>
    <t>Note: SMGR VFQDN is a new property for SMGR Geo Redundancy. Although ME will not support SMGR Geo Redundancy, this property still needs to be defined and should be unique.</t>
  </si>
  <si>
    <t>(Administration &amp; System Programming documents)</t>
  </si>
  <si>
    <r>
      <t xml:space="preserve">Click on the document link, </t>
    </r>
    <r>
      <rPr>
        <b/>
        <sz val="11"/>
        <color indexed="8"/>
        <rFont val="Calibri"/>
        <family val="2"/>
      </rPr>
      <t>Administering Remote Access and Alarming for Avaya Aura® Solution for Midsize Enterprise</t>
    </r>
  </si>
  <si>
    <t>Administering Remote Access and Alarming for Avaya Aura® Solution for Midsize Enterprise</t>
  </si>
  <si>
    <t>Follow the instructions in the document.</t>
  </si>
  <si>
    <t>WARNING: It is important to refer to the Presence Services Feature / Service Pack Release Notes before attempting to apply a Feature / Service Pack.
See Downloads &amp; Documents on support.avaya.com for Avaya Aura® Presence Services.</t>
  </si>
  <si>
    <t>Locate and select the downloaded PS Feature / Service Pack file as the source file for the file transfer.</t>
  </si>
  <si>
    <t xml:space="preserve">Browse to PS Feature / Service Pack file in the WinSCP source machine window </t>
  </si>
  <si>
    <t>Click and drag the Feature / Service Pack file from the WinSCP source window to /tmp in the WinSCP destination window.</t>
  </si>
  <si>
    <t>Install the Presence Services Feature / Service Pack</t>
  </si>
  <si>
    <t>After the Feature / Service Pack installation has completed, use the web browser to access the Presence Server XCP Controller</t>
  </si>
  <si>
    <t>Note: the user credentials detailed here assume that the Presence Services 6.2.1 or later Feature / Service Pack has been applied.</t>
  </si>
  <si>
    <t>Locate and select the downloaded SM Feature / Service Pack file as the source file for the file transfer.</t>
  </si>
  <si>
    <t xml:space="preserve">Browse to SM Feature / Service Pack file in the WinSCP source machine window </t>
  </si>
  <si>
    <t>Change directory to /tmp which should now contain the SM Feature / Service Pack.</t>
  </si>
  <si>
    <r>
      <t xml:space="preserve">
Visit all the worksheets from left to right.  Fill out the center column on the </t>
    </r>
    <r>
      <rPr>
        <b/>
        <sz val="12"/>
        <color indexed="8"/>
        <rFont val="Calibri"/>
        <family val="2"/>
      </rPr>
      <t>Configuration Data</t>
    </r>
    <r>
      <rPr>
        <sz val="12"/>
        <color indexed="8"/>
        <rFont val="Calibri"/>
        <family val="2"/>
      </rPr>
      <t xml:space="preserve"> worksheet to populate the workbook fields with the correct values for your ME system.  Values that you have specified in this way appear in </t>
    </r>
    <r>
      <rPr>
        <b/>
        <sz val="12"/>
        <color indexed="17"/>
        <rFont val="Calibri"/>
        <family val="2"/>
      </rPr>
      <t>green font</t>
    </r>
    <r>
      <rPr>
        <sz val="12"/>
        <color indexed="8"/>
        <rFont val="Calibri"/>
        <family val="2"/>
      </rPr>
      <t xml:space="preserve"> elsewhere in the workbook. Then follow the step-by-step instructions explicitly. Confirm that you have the right workbook for the load and product that you are installing. A green or black zero (</t>
    </r>
    <r>
      <rPr>
        <b/>
        <sz val="12"/>
        <color indexed="17"/>
        <rFont val="Calibri"/>
        <family val="2"/>
      </rPr>
      <t>0</t>
    </r>
    <r>
      <rPr>
        <sz val="12"/>
        <rFont val="Calibri"/>
        <family val="2"/>
      </rPr>
      <t>) in a field means that</t>
    </r>
    <r>
      <rPr>
        <b/>
        <sz val="12"/>
        <color indexed="17"/>
        <rFont val="Calibri"/>
        <family val="2"/>
      </rPr>
      <t xml:space="preserve"> </t>
    </r>
    <r>
      <rPr>
        <sz val="12"/>
        <rFont val="Calibri"/>
        <family val="2"/>
      </rPr>
      <t xml:space="preserve"> a value on the Configuration data worksheet is missing or blank.  You must confirm that all required fields on the Configuration Page are filled in.  </t>
    </r>
    <r>
      <rPr>
        <sz val="12"/>
        <color indexed="8"/>
        <rFont val="Calibri"/>
        <family val="2"/>
      </rPr>
      <t xml:space="preserve">  
</t>
    </r>
    <r>
      <rPr>
        <b/>
        <sz val="12"/>
        <color indexed="8"/>
        <rFont val="Calibri"/>
        <family val="2"/>
      </rPr>
      <t>Stay on the Path.</t>
    </r>
  </si>
  <si>
    <t>ME with Avaya Aura® 6.2 FP4 is supported on the following server types:
    1. HP Proliant® DL360 G7 variant designed for ME (DL360G7 SERVER 1U - DL360G7 SRVR 2CPU HI1 MES, Material Code 263762)
    2. HP Proliant® DL360p G8 variant designed for ME (DL360PG8 SERVER 1U - DL360PG8 SRVR 2CPU HI1 MES, Material Code 303560)</t>
  </si>
  <si>
    <t>Note: Presence Services support for the customer authentication file is included in the Avaya Aura® 6.2 FP4 update. If the Avaya Aura® 6.2 FP4 update has not been applied, a message stating that Presence Services has failed may appear. This message can be ignored.</t>
  </si>
  <si>
    <t>Step:  Confirm that Session Manager Instance Tests Pass</t>
  </si>
  <si>
    <r>
      <t xml:space="preserve"> Navigate to </t>
    </r>
    <r>
      <rPr>
        <b/>
        <sz val="11"/>
        <color theme="1"/>
        <rFont val="Calibri"/>
        <family val="2"/>
        <scheme val="minor"/>
      </rPr>
      <t>Elements-&gt;Inventory-&gt;Synchronization-&gt;Communication System</t>
    </r>
  </si>
  <si>
    <r>
      <t xml:space="preserve">Browse to the System Platform </t>
    </r>
    <r>
      <rPr>
        <b/>
        <sz val="11"/>
        <color theme="1"/>
        <rFont val="Calibri"/>
        <family val="2"/>
        <scheme val="minor"/>
      </rPr>
      <t>CD</t>
    </r>
    <r>
      <rPr>
        <b/>
        <sz val="11"/>
        <color indexed="8"/>
        <rFont val="Calibri"/>
        <family val="2"/>
      </rPr>
      <t>om</t>
    </r>
    <r>
      <rPr>
        <sz val="11"/>
        <color theme="1"/>
        <rFont val="Calibri"/>
        <family val="2"/>
        <scheme val="minor"/>
      </rPr>
      <t xml:space="preserve"> URL</t>
    </r>
  </si>
  <si>
    <t>cd /vspdata/template/Midsize_Ent</t>
  </si>
  <si>
    <t>grep presence_va.SCEP_PASSWORD ovf-env.txt</t>
  </si>
  <si>
    <t>login as/Password</t>
  </si>
  <si>
    <t>Login to the CLI for the Avaya Aura® System Platform</t>
  </si>
  <si>
    <t>Step: Obtain the Enrollment Password that is set for Avaya Aura® Presence Services (PS)</t>
  </si>
  <si>
    <r>
      <t xml:space="preserve">Change directory to </t>
    </r>
    <r>
      <rPr>
        <b/>
        <sz val="11"/>
        <rFont val="Calibri"/>
        <family val="2"/>
        <scheme val="minor"/>
      </rPr>
      <t>/vspdata/template/Midsize_Ent</t>
    </r>
  </si>
  <si>
    <r>
      <t xml:space="preserve">Search the </t>
    </r>
    <r>
      <rPr>
        <b/>
        <sz val="11"/>
        <rFont val="Calibri"/>
        <family val="2"/>
        <scheme val="minor"/>
      </rPr>
      <t>ovf-env.txt</t>
    </r>
    <r>
      <rPr>
        <sz val="11"/>
        <rFont val="Calibri"/>
        <family val="2"/>
        <scheme val="minor"/>
      </rPr>
      <t xml:space="preserve"> file for the </t>
    </r>
    <r>
      <rPr>
        <b/>
        <sz val="11"/>
        <rFont val="Calibri"/>
        <family val="2"/>
        <scheme val="minor"/>
      </rPr>
      <t>presence_va.SCEP_PASSWORD</t>
    </r>
    <r>
      <rPr>
        <sz val="11"/>
        <rFont val="Calibri"/>
        <family val="2"/>
        <scheme val="minor"/>
      </rPr>
      <t xml:space="preserve"> property value</t>
    </r>
  </si>
  <si>
    <t>Make note of the displayed property value</t>
  </si>
  <si>
    <t>presence_va.SCEP_PASSWORD</t>
  </si>
  <si>
    <t>(Enrollment Password)</t>
  </si>
  <si>
    <t>Login to the Avaya Aura® System Manager web console.</t>
  </si>
  <si>
    <t>admin/Admin123!</t>
  </si>
  <si>
    <r>
      <t xml:space="preserve">Navigate to </t>
    </r>
    <r>
      <rPr>
        <b/>
        <sz val="11"/>
        <rFont val="Calibri"/>
        <family val="2"/>
        <scheme val="minor"/>
      </rPr>
      <t>Services -&gt; Security -&gt; Certificates -&gt; Enrollment Password</t>
    </r>
  </si>
  <si>
    <t>Services -&gt; Security -&gt; Certificates -&gt; Enrollment Password</t>
  </si>
  <si>
    <t>(Enrollment Password from ovf-env.txt)</t>
  </si>
  <si>
    <r>
      <t xml:space="preserve">Enter the previously noted Enrollment Password in the </t>
    </r>
    <r>
      <rPr>
        <b/>
        <sz val="11"/>
        <rFont val="Calibri"/>
        <family val="2"/>
        <scheme val="minor"/>
      </rPr>
      <t>Password:</t>
    </r>
    <r>
      <rPr>
        <sz val="11"/>
        <rFont val="Calibri"/>
        <family val="2"/>
        <scheme val="minor"/>
      </rPr>
      <t xml:space="preserve"> field</t>
    </r>
  </si>
  <si>
    <r>
      <t xml:space="preserve">Enter the previously noted Enrollment Password in the </t>
    </r>
    <r>
      <rPr>
        <b/>
        <sz val="11"/>
        <rFont val="Calibri"/>
        <family val="2"/>
        <scheme val="minor"/>
      </rPr>
      <t>Confirm Password:</t>
    </r>
    <r>
      <rPr>
        <sz val="11"/>
        <rFont val="Calibri"/>
        <family val="2"/>
        <scheme val="minor"/>
      </rPr>
      <t xml:space="preserve"> field</t>
    </r>
  </si>
  <si>
    <t>Password expires in:</t>
  </si>
  <si>
    <t>1 week(s)</t>
  </si>
  <si>
    <r>
      <t xml:space="preserve">Set </t>
    </r>
    <r>
      <rPr>
        <b/>
        <sz val="11"/>
        <rFont val="Calibri"/>
        <family val="2"/>
        <scheme val="minor"/>
      </rPr>
      <t>Password expires in:</t>
    </r>
    <r>
      <rPr>
        <sz val="11"/>
        <rFont val="Calibri"/>
        <family val="2"/>
        <scheme val="minor"/>
      </rPr>
      <t xml:space="preserve"> to 1 week from the drop down list</t>
    </r>
  </si>
  <si>
    <r>
      <t xml:space="preserve">Click the </t>
    </r>
    <r>
      <rPr>
        <b/>
        <sz val="11"/>
        <rFont val="Calibri"/>
        <family val="2"/>
        <scheme val="minor"/>
      </rPr>
      <t>Commit</t>
    </r>
    <r>
      <rPr>
        <sz val="11"/>
        <rFont val="Calibri"/>
        <family val="2"/>
        <scheme val="minor"/>
      </rPr>
      <t xml:space="preserve"> button</t>
    </r>
  </si>
  <si>
    <t>Time Remaining:</t>
  </si>
  <si>
    <r>
      <t xml:space="preserve">Verify the </t>
    </r>
    <r>
      <rPr>
        <b/>
        <sz val="11"/>
        <rFont val="Calibri"/>
        <family val="2"/>
        <scheme val="minor"/>
      </rPr>
      <t xml:space="preserve">Time Remaining: </t>
    </r>
    <r>
      <rPr>
        <sz val="11"/>
        <rFont val="Calibri"/>
        <family val="2"/>
        <scheme val="minor"/>
      </rPr>
      <t>has been set</t>
    </r>
  </si>
  <si>
    <t>(1 week: 168 hrs)</t>
  </si>
  <si>
    <t>Step: Apply Avaya Aura® Presence Services (PS) Feature / Service Pack to the PS VM</t>
  </si>
  <si>
    <t>Note: The Enrollment Password was obtained in previously.</t>
  </si>
  <si>
    <t xml:space="preserve">Step: Reboot Avaya Aura® System Manager (SMGR) </t>
  </si>
  <si>
    <t>Virtual Machine needs to be rebooted as System Manager Patch installation updated the Kernel.</t>
  </si>
  <si>
    <t>Step: Apply Avaya Aura® System Manager (SMGR) Feature / Service Pack to the SMGR VM via System Platform</t>
  </si>
  <si>
    <t>Step: Apply Avaya Aura® Session Manager (SM) Feature / Service Pack to the Session Manager VM</t>
  </si>
  <si>
    <t>Step: Download and Apply Avaya Aura® Presence Services (PS) Feature / Service Pack to the Presence Services VM</t>
  </si>
  <si>
    <t>The following details the high level instructions for applying an Avaya Aura® Presence Services Feature / Service Pack.</t>
  </si>
  <si>
    <r>
      <t xml:space="preserve">Note: It is important to reference the PSN for each Avaya Aura® Presence Services Patch before it is applied. See </t>
    </r>
    <r>
      <rPr>
        <b/>
        <i/>
        <sz val="11"/>
        <color rgb="FFFF0000"/>
        <rFont val="Calibri"/>
        <family val="2"/>
        <scheme val="minor"/>
      </rPr>
      <t xml:space="preserve">Downloads &amp; Documents </t>
    </r>
    <r>
      <rPr>
        <b/>
        <sz val="11"/>
        <color rgb="FFFF0000"/>
        <rFont val="Calibri"/>
        <family val="2"/>
        <scheme val="minor"/>
      </rPr>
      <t xml:space="preserve">on support.avaya.com for </t>
    </r>
    <r>
      <rPr>
        <b/>
        <i/>
        <sz val="11"/>
        <color rgb="FFFF0000"/>
        <rFont val="Calibri"/>
        <family val="2"/>
        <scheme val="minor"/>
      </rPr>
      <t xml:space="preserve">Avaya Aura® Presence Services </t>
    </r>
    <r>
      <rPr>
        <b/>
        <sz val="11"/>
        <color rgb="FFFF0000"/>
        <rFont val="Calibri"/>
        <family val="2"/>
        <scheme val="minor"/>
      </rPr>
      <t>for further instructions.</t>
    </r>
  </si>
  <si>
    <t>Step: Apply Avaya Aura® Application Enablement Services (AES) Feature / Service Pack to the AES VM via System Platform</t>
  </si>
  <si>
    <t>Step: Apply Avaya Aura® Utility Services (US) Service Pack to the Utility Services VM via System Platform</t>
  </si>
  <si>
    <t>Step: Apply Avaya Aura® Communication Manager (CM) Feature / Service Pack  to the CM VM</t>
  </si>
  <si>
    <t>Step: Set the Enrollment Password on Avaya Aura® System Manager to match what is set for Avaya Aura® Presence Services (PS)</t>
  </si>
  <si>
    <r>
      <t xml:space="preserve">Repeat the above PLDS download steps for the </t>
    </r>
    <r>
      <rPr>
        <b/>
        <sz val="11"/>
        <color theme="1"/>
        <rFont val="Calibri"/>
        <family val="2"/>
        <scheme val="minor"/>
      </rPr>
      <t>Services VM</t>
    </r>
    <r>
      <rPr>
        <sz val="11"/>
        <color theme="1"/>
        <rFont val="Calibri"/>
        <family val="2"/>
        <scheme val="minor"/>
      </rPr>
      <t xml:space="preserve"> template update .iso file.</t>
    </r>
  </si>
  <si>
    <t>Step: Apply Avaya Aura® Communication Manager Messaging (CMM) Service Pack to the CMM via System Platform</t>
  </si>
  <si>
    <t>Step: Apply Avaya Aura® Communication Manager (CM) Security Service Pack to the CM VM</t>
  </si>
  <si>
    <t>Step: Apply Avaya Aura® Communication Manager (CM) Kernel Service Pack to the CM VM</t>
  </si>
  <si>
    <t>(press any key)</t>
  </si>
  <si>
    <t>(press "y" return)</t>
  </si>
  <si>
    <t>Screen Prompt</t>
  </si>
  <si>
    <t>When prompted, press any key to read the EULA.</t>
  </si>
  <si>
    <t xml:space="preserve">When prompted, "Do you accept the terms of this EULA?", press "y" return. </t>
  </si>
  <si>
    <t>Confirm that the upgrade succeeded.</t>
  </si>
  <si>
    <t>Select /tmp as the destination location for the file transfer.</t>
  </si>
  <si>
    <t>Change the transfer protocol from SFTP to SCP.</t>
  </si>
  <si>
    <t>smgr-patch-plugin-updater-1.0.bin</t>
  </si>
  <si>
    <t>CMME0000137</t>
  </si>
  <si>
    <t xml:space="preserve">Enter your credentials for SCP access to do the file transfer using the admin account. </t>
  </si>
  <si>
    <t>Use WinSCP or similar file transfer utility to connect to the CDom.</t>
  </si>
  <si>
    <t>Locate and select the downloaded SMGR Patch Plugin Updater Executable  as the source file for the file transfer.</t>
  </si>
  <si>
    <t xml:space="preserve">Browse to SMGR Patch Plugin Updater Executable file in the WinSCP source machine window </t>
  </si>
  <si>
    <t>Note: The following steps are optional if you already have the update file on you PC.</t>
  </si>
  <si>
    <t xml:space="preserve">Note:  Applicable for Pre-Staged systems. </t>
  </si>
  <si>
    <t>Note: The following steps are optional if you already have the 3 ME template DVDs, or if your server has the template software Pre-Staged.</t>
  </si>
  <si>
    <t>Step: Download ME Standalone Installation Wizard</t>
  </si>
  <si>
    <t>Download Pub ID:</t>
  </si>
  <si>
    <t>Note: Applicable for Pre-Staged systems.</t>
  </si>
  <si>
    <r>
      <t xml:space="preserve">Repeat the PLDS download steps for the </t>
    </r>
    <r>
      <rPr>
        <b/>
        <sz val="11"/>
        <color theme="1"/>
        <rFont val="Calibri"/>
        <family val="2"/>
        <scheme val="minor"/>
      </rPr>
      <t>Avaya Aura® System Manager</t>
    </r>
    <r>
      <rPr>
        <sz val="11"/>
        <color theme="1"/>
        <rFont val="Calibri"/>
        <family val="2"/>
        <scheme val="minor"/>
      </rPr>
      <t xml:space="preserve"> patch plugin updater executable file.</t>
    </r>
  </si>
  <si>
    <t>Click and drag the executable file from the WinSCP source window to the WinSCP destination window.</t>
  </si>
  <si>
    <t>Open a Putty SSH session to the CDom IP address.</t>
  </si>
  <si>
    <t>CDom IP address</t>
  </si>
  <si>
    <t>Login using the admin account.</t>
  </si>
  <si>
    <t>(execute the su root CLI command)</t>
  </si>
  <si>
    <r>
      <t xml:space="preserve">Make the file executable for </t>
    </r>
    <r>
      <rPr>
        <b/>
        <sz val="11"/>
        <color theme="1"/>
        <rFont val="Calibri"/>
        <family val="2"/>
        <scheme val="minor"/>
      </rPr>
      <t>root</t>
    </r>
  </si>
  <si>
    <t>chmod 700 smgr-patch-plugin-updater-1.0.bin</t>
  </si>
  <si>
    <t>Run the executable</t>
  </si>
  <si>
    <t>./smgr-patch-plugin-updater-1.0.bin</t>
  </si>
  <si>
    <t>Note: This should been done before attemping to apply the Avaya Aura® System Manager update.</t>
  </si>
  <si>
    <t>Step: Run Avaya Aura® System Manager (SMGR) Patch Plugin Updater Executable on Avaya Aura® System Plaform CDom CLI</t>
  </si>
  <si>
    <t>Note: These network parameter values are just examples.  Use any available IP address on the LAN that the ME system has been configured for.</t>
  </si>
  <si>
    <t>Note: These instructions are for the freeware utility, WinSCP.   You can use any file transfer utility available, and modify the required actions to perform the file transfer as needed.</t>
  </si>
  <si>
    <t xml:space="preserve">Note: 
- Do NOT run the command without the parameter, "autoUpgrade_PS.properties". If you do, the command will hang indefinitely, waiting for a GUI that cannot launch, (i.e., this Feature / Service Pack install is command line  only).
 - Presence Services may restart after the Feature / Service Pack has installed. If this is the case, you will need to reconnect your Putty SSH session, and login again before continuing. </t>
  </si>
  <si>
    <r>
      <t xml:space="preserve">Click on </t>
    </r>
    <r>
      <rPr>
        <b/>
        <sz val="11"/>
        <color indexed="8"/>
        <rFont val="Calibri"/>
        <family val="2"/>
      </rPr>
      <t>Documents</t>
    </r>
    <r>
      <rPr>
        <sz val="11"/>
        <color theme="1"/>
        <rFont val="Calibri"/>
        <family val="2"/>
        <scheme val="minor"/>
      </rPr>
      <t xml:space="preserve"> in the top menu bar</t>
    </r>
  </si>
  <si>
    <t>(Top Menu Bar)</t>
  </si>
  <si>
    <t>Documents</t>
  </si>
  <si>
    <r>
      <t xml:space="preserve">In the </t>
    </r>
    <r>
      <rPr>
        <b/>
        <sz val="11"/>
        <color theme="1"/>
        <rFont val="Calibri"/>
        <family val="2"/>
        <scheme val="minor"/>
      </rPr>
      <t>Enter Your Product Here</t>
    </r>
    <r>
      <rPr>
        <sz val="11"/>
        <color theme="1"/>
        <rFont val="Calibri"/>
        <family val="2"/>
        <scheme val="minor"/>
      </rPr>
      <t xml:space="preserve"> dialogue box, start typing Presence Services and select </t>
    </r>
    <r>
      <rPr>
        <b/>
        <sz val="11"/>
        <color theme="1"/>
        <rFont val="Calibri"/>
        <family val="2"/>
        <scheme val="minor"/>
      </rPr>
      <t>Avaya Aura® Presence Services</t>
    </r>
    <r>
      <rPr>
        <sz val="11"/>
        <color theme="1"/>
        <rFont val="Calibri"/>
        <family val="2"/>
        <scheme val="minor"/>
      </rPr>
      <t xml:space="preserve"> when displayed</t>
    </r>
  </si>
  <si>
    <t>(Enter Your Product Here)</t>
  </si>
  <si>
    <t>Presence Services</t>
  </si>
  <si>
    <t>(Choose Release)</t>
  </si>
  <si>
    <t>"6.2.x"</t>
  </si>
  <si>
    <t>(Content Type)</t>
  </si>
  <si>
    <r>
      <rPr>
        <b/>
        <sz val="11"/>
        <rFont val="Calibri"/>
        <family val="2"/>
      </rPr>
      <t>Installation, Migrations, Upgrades &amp; Configurations</t>
    </r>
    <r>
      <rPr>
        <sz val="11"/>
        <rFont val="Calibri"/>
        <family val="2"/>
      </rPr>
      <t xml:space="preserve"> and </t>
    </r>
    <r>
      <rPr>
        <b/>
        <sz val="11"/>
        <rFont val="Calibri"/>
        <family val="2"/>
      </rPr>
      <t>Release Notes &amp; Software Update Notes</t>
    </r>
  </si>
  <si>
    <r>
      <t xml:space="preserve">From the list of </t>
    </r>
    <r>
      <rPr>
        <b/>
        <sz val="11"/>
        <color theme="1"/>
        <rFont val="Calibri"/>
        <family val="2"/>
        <scheme val="minor"/>
      </rPr>
      <t>Content Type</t>
    </r>
    <r>
      <rPr>
        <sz val="11"/>
        <color theme="1"/>
        <rFont val="Calibri"/>
        <family val="2"/>
        <scheme val="minor"/>
      </rPr>
      <t xml:space="preserve"> on the left, select</t>
    </r>
    <r>
      <rPr>
        <b/>
        <sz val="11"/>
        <color theme="1"/>
        <rFont val="Calibri"/>
        <family val="2"/>
        <scheme val="minor"/>
      </rPr>
      <t xml:space="preserve"> Installation, Migrations, Upgrades &amp; Configurations</t>
    </r>
    <r>
      <rPr>
        <sz val="11"/>
        <color theme="1"/>
        <rFont val="Calibri"/>
        <family val="2"/>
        <scheme val="minor"/>
      </rPr>
      <t xml:space="preserve"> and </t>
    </r>
    <r>
      <rPr>
        <b/>
        <sz val="11"/>
        <color theme="1"/>
        <rFont val="Calibri"/>
        <family val="2"/>
        <scheme val="minor"/>
      </rPr>
      <t xml:space="preserve">Release Notes &amp; Software Update Notes </t>
    </r>
    <r>
      <rPr>
        <sz val="11"/>
        <color theme="1"/>
        <rFont val="Calibri"/>
        <family val="2"/>
        <scheme val="minor"/>
      </rPr>
      <t xml:space="preserve">and click the </t>
    </r>
    <r>
      <rPr>
        <b/>
        <sz val="11"/>
        <color theme="1"/>
        <rFont val="Calibri"/>
        <family val="2"/>
        <scheme val="minor"/>
      </rPr>
      <t>Enter</t>
    </r>
    <r>
      <rPr>
        <sz val="11"/>
        <color theme="1"/>
        <rFont val="Calibri"/>
        <family val="2"/>
        <scheme val="minor"/>
      </rPr>
      <t xml:space="preserve"> button</t>
    </r>
  </si>
  <si>
    <t>(Documents)</t>
  </si>
  <si>
    <r>
      <t xml:space="preserve">Click on the document link for </t>
    </r>
    <r>
      <rPr>
        <b/>
        <sz val="11"/>
        <color theme="1"/>
        <rFont val="Calibri"/>
        <family val="2"/>
        <scheme val="minor"/>
      </rPr>
      <t>Avaya Aura® Presence Services 6.2.5 Release Notes</t>
    </r>
  </si>
  <si>
    <t>Avaya Aura® Presence Services 6.2.5 Release Notes</t>
  </si>
  <si>
    <r>
      <t xml:space="preserve">Click on the document link for </t>
    </r>
    <r>
      <rPr>
        <b/>
        <sz val="11"/>
        <color theme="1"/>
        <rFont val="Calibri"/>
        <family val="2"/>
        <scheme val="minor"/>
      </rPr>
      <t>Deploying Avaya Aura® Presence Services for Release 6.2</t>
    </r>
  </si>
  <si>
    <t>Deploying Avaya Aura® Presence Services for Release 6.2</t>
  </si>
  <si>
    <r>
      <t xml:space="preserve">Save each document to your PC using your browser </t>
    </r>
    <r>
      <rPr>
        <b/>
        <sz val="11"/>
        <color indexed="8"/>
        <rFont val="Calibri"/>
        <family val="2"/>
      </rPr>
      <t>Save As</t>
    </r>
    <r>
      <rPr>
        <sz val="11"/>
        <color theme="1"/>
        <rFont val="Calibri"/>
        <family val="2"/>
        <scheme val="minor"/>
      </rPr>
      <t xml:space="preserve"> option.</t>
    </r>
  </si>
  <si>
    <t>Follow the instructions in the documents.</t>
  </si>
  <si>
    <t>Step: Refer to the Avaya Aura® Presence Services Documentation for Configuration</t>
  </si>
  <si>
    <t>If the services aren't green, wait 10 minutes and if the services still aren't green reboot Presence Services from System Platform.</t>
  </si>
  <si>
    <t>Step:  If Services are not Green, restart the Presence Services Virtual Machine</t>
  </si>
  <si>
    <t>Step: Login to Presence Services</t>
  </si>
  <si>
    <t>Use browser to access Presence Services XCP Controller</t>
  </si>
  <si>
    <t>Confirm that the Presence Services VM returns to the "Running" State after rebooting</t>
  </si>
  <si>
    <r>
      <t xml:space="preserve">In the </t>
    </r>
    <r>
      <rPr>
        <b/>
        <sz val="11"/>
        <color theme="1"/>
        <rFont val="Calibri"/>
        <family val="2"/>
        <scheme val="minor"/>
      </rPr>
      <t>Enter Your Product Here</t>
    </r>
    <r>
      <rPr>
        <sz val="11"/>
        <color theme="1"/>
        <rFont val="Calibri"/>
        <family val="2"/>
        <scheme val="minor"/>
      </rPr>
      <t xml:space="preserve"> dialogue box, start typing Midsize Enterprise and select </t>
    </r>
    <r>
      <rPr>
        <b/>
        <sz val="11"/>
        <color theme="1"/>
        <rFont val="Calibri"/>
        <family val="2"/>
        <scheme val="minor"/>
      </rPr>
      <t>Avaya Aura® Solution for Midsize Enterprise</t>
    </r>
    <r>
      <rPr>
        <sz val="11"/>
        <color theme="1"/>
        <rFont val="Calibri"/>
        <family val="2"/>
        <scheme val="minor"/>
      </rPr>
      <t xml:space="preserve"> when displayed</t>
    </r>
  </si>
  <si>
    <r>
      <t xml:space="preserve">From the </t>
    </r>
    <r>
      <rPr>
        <b/>
        <sz val="11"/>
        <color theme="1"/>
        <rFont val="Calibri"/>
        <family val="2"/>
        <scheme val="minor"/>
      </rPr>
      <t xml:space="preserve">Choose Release </t>
    </r>
    <r>
      <rPr>
        <sz val="11"/>
        <color theme="1"/>
        <rFont val="Calibri"/>
        <family val="2"/>
        <scheme val="minor"/>
      </rPr>
      <t xml:space="preserve">drop down list, select version </t>
    </r>
    <r>
      <rPr>
        <b/>
        <sz val="11"/>
        <color theme="1"/>
        <rFont val="Calibri"/>
        <family val="2"/>
        <scheme val="minor"/>
      </rPr>
      <t>6.2.x</t>
    </r>
  </si>
  <si>
    <r>
      <t xml:space="preserve">From the </t>
    </r>
    <r>
      <rPr>
        <b/>
        <sz val="11"/>
        <color theme="1"/>
        <rFont val="Calibri"/>
        <family val="2"/>
        <scheme val="minor"/>
      </rPr>
      <t>Choose Release</t>
    </r>
    <r>
      <rPr>
        <sz val="11"/>
        <color theme="1"/>
        <rFont val="Calibri"/>
        <family val="2"/>
        <scheme val="minor"/>
      </rPr>
      <t xml:space="preserve"> drop down list, select version </t>
    </r>
    <r>
      <rPr>
        <b/>
        <sz val="11"/>
        <color theme="1"/>
        <rFont val="Calibri"/>
        <family val="2"/>
        <scheme val="minor"/>
      </rPr>
      <t>6.2.x</t>
    </r>
  </si>
  <si>
    <r>
      <t xml:space="preserve">From the list of </t>
    </r>
    <r>
      <rPr>
        <b/>
        <sz val="11"/>
        <color theme="1"/>
        <rFont val="Calibri"/>
        <family val="2"/>
        <scheme val="minor"/>
      </rPr>
      <t>Content Type</t>
    </r>
    <r>
      <rPr>
        <sz val="11"/>
        <color theme="1"/>
        <rFont val="Calibri"/>
        <family val="2"/>
        <scheme val="minor"/>
      </rPr>
      <t xml:space="preserve"> on the left, select</t>
    </r>
    <r>
      <rPr>
        <b/>
        <sz val="11"/>
        <color theme="1"/>
        <rFont val="Calibri"/>
        <family val="2"/>
        <scheme val="minor"/>
      </rPr>
      <t xml:space="preserve"> Administration &amp; System Programming </t>
    </r>
    <r>
      <rPr>
        <sz val="11"/>
        <color theme="1"/>
        <rFont val="Calibri"/>
        <family val="2"/>
        <scheme val="minor"/>
      </rPr>
      <t xml:space="preserve">and click the </t>
    </r>
    <r>
      <rPr>
        <b/>
        <sz val="11"/>
        <color theme="1"/>
        <rFont val="Calibri"/>
        <family val="2"/>
        <scheme val="minor"/>
      </rPr>
      <t>Enter</t>
    </r>
    <r>
      <rPr>
        <sz val="11"/>
        <color theme="1"/>
        <rFont val="Calibri"/>
        <family val="2"/>
        <scheme val="minor"/>
      </rPr>
      <t xml:space="preserve"> button</t>
    </r>
  </si>
  <si>
    <t>Administration &amp; System Programming</t>
  </si>
  <si>
    <t>Use browser to access CDom via the System Platform web console</t>
  </si>
  <si>
    <t>Login to the System Platform web console</t>
  </si>
  <si>
    <t>aesvcs-6.3.3.0.10-1-featurepack.zip</t>
  </si>
  <si>
    <t>2014.06.18-LSU-Patch-RHEL5U10.bin</t>
  </si>
  <si>
    <t>CMME0000144</t>
  </si>
  <si>
    <t>CMME0000146</t>
  </si>
  <si>
    <r>
      <t xml:space="preserve">Note: </t>
    </r>
    <r>
      <rPr>
        <b/>
        <sz val="11"/>
        <color theme="1"/>
        <rFont val="Calibri"/>
        <family val="2"/>
        <scheme val="minor"/>
      </rPr>
      <t>NOT</t>
    </r>
    <r>
      <rPr>
        <sz val="11"/>
        <color theme="1"/>
        <rFont val="Calibri"/>
        <family val="2"/>
        <scheme val="minor"/>
      </rPr>
      <t xml:space="preserve"> applicable for Pre-Staged systems.</t>
    </r>
  </si>
  <si>
    <r>
      <t xml:space="preserve">Repeat the PLDS download steps for the </t>
    </r>
    <r>
      <rPr>
        <b/>
        <sz val="11"/>
        <color theme="1"/>
        <rFont val="Calibri"/>
        <family val="2"/>
        <scheme val="minor"/>
      </rPr>
      <t>Avaya Aura® Application Enablement Services</t>
    </r>
    <r>
      <rPr>
        <sz val="11"/>
        <color theme="1"/>
        <rFont val="Calibri"/>
        <family val="2"/>
        <scheme val="minor"/>
      </rPr>
      <t xml:space="preserve"> Linux Security Update file.</t>
    </r>
  </si>
  <si>
    <r>
      <t xml:space="preserve">Repeat the PLDS download steps for the </t>
    </r>
    <r>
      <rPr>
        <b/>
        <sz val="11"/>
        <color theme="1"/>
        <rFont val="Calibri"/>
        <family val="2"/>
        <scheme val="minor"/>
      </rPr>
      <t>Avaya Aura® Application Enablement Services</t>
    </r>
    <r>
      <rPr>
        <sz val="11"/>
        <color theme="1"/>
        <rFont val="Calibri"/>
        <family val="2"/>
        <scheme val="minor"/>
      </rPr>
      <t xml:space="preserve"> 6.3.3 Feature Pack update file.</t>
    </r>
  </si>
  <si>
    <t>CMME0000120</t>
  </si>
  <si>
    <t>util_patch_6.3.0.4.20.zip</t>
  </si>
  <si>
    <r>
      <t>BEFORE PATCHING: Please note that this Workbook attempts to track the latest patches. As such, some steps may exist which do not need to be taken. In particular, if the patch file name is a green zero (</t>
    </r>
    <r>
      <rPr>
        <b/>
        <sz val="11"/>
        <color rgb="FF00B050"/>
        <rFont val="Calibri"/>
        <family val="2"/>
        <scheme val="minor"/>
      </rPr>
      <t>0</t>
    </r>
    <r>
      <rPr>
        <b/>
        <sz val="11"/>
        <color theme="1"/>
        <rFont val="Calibri"/>
        <family val="2"/>
        <scheme val="minor"/>
      </rPr>
      <t xml:space="preserve">), it is likely that there is currently no patch for that application. </t>
    </r>
  </si>
  <si>
    <t>Step: Apply Avaya Aura® Application Enablement Services (AES) Super Patch to the AES VM via System Platform</t>
  </si>
  <si>
    <t>Step: Apply Avaya Aura® Application Enablement Services (AES) Linux Security Update to the AES VM via System Platform</t>
  </si>
  <si>
    <t>Use WinSCP or similar file transfer utility to connect to the AES VM.</t>
  </si>
  <si>
    <t>Enter your credentials for SCP access to do the file transfer.</t>
  </si>
  <si>
    <t>Locate and select the downloaded AES Feature / Service Pack file as the source file for the file transfer.</t>
  </si>
  <si>
    <t xml:space="preserve">Browse to AES Feature / Service Pack file in the WinSCP source machine window </t>
  </si>
  <si>
    <t>Open a Putty SSH session to the AES IP address.</t>
  </si>
  <si>
    <t>AES IP address</t>
  </si>
  <si>
    <r>
      <rPr>
        <sz val="11"/>
        <rFont val="Calibri"/>
        <family val="2"/>
        <scheme val="minor"/>
      </rPr>
      <t xml:space="preserve">Change user to </t>
    </r>
    <r>
      <rPr>
        <b/>
        <sz val="11"/>
        <rFont val="Calibri"/>
        <family val="2"/>
        <scheme val="minor"/>
      </rPr>
      <t>root</t>
    </r>
  </si>
  <si>
    <r>
      <t xml:space="preserve">Login to AES CLI as user </t>
    </r>
    <r>
      <rPr>
        <b/>
        <sz val="11"/>
        <rFont val="Calibri"/>
        <family val="2"/>
        <scheme val="minor"/>
      </rPr>
      <t>admin</t>
    </r>
  </si>
  <si>
    <t>Run the update file.</t>
  </si>
  <si>
    <t>su root</t>
  </si>
  <si>
    <t>Step: Apply Avaya Aura® Utility Services (US) patch to the Utility Services VM via System Platform if applicable</t>
  </si>
  <si>
    <t>Step: Apply Avaya Aura® System Platform update</t>
  </si>
  <si>
    <t>Note: The screen displays a notice indicating that the Web Console is restarting, and that you should wait 5 minutes, until the browser restarts.</t>
  </si>
  <si>
    <t>Note: AES 6.3.3.0.10-0 must be removed before applying the AES 6.3.3.0.10-1 update. See previous step.</t>
  </si>
  <si>
    <t>Note: Utility Services 6.3 Service Packs 1 and 2 do not uninstall cleanly, breaking future application of patches/Service Packs. See PSN027002u for further details and resolution.</t>
  </si>
  <si>
    <t>AES 6.3.3 Linux Security Update filename</t>
  </si>
  <si>
    <t>AES 6.3.3 Linux Security Update Download Pub ID</t>
  </si>
  <si>
    <t>AES 6.3.3 Update Download Pub ID</t>
  </si>
  <si>
    <t>AES 6.3.3 Update filename</t>
  </si>
  <si>
    <t>CM 6.3 SSP6 filename</t>
  </si>
  <si>
    <t>PS 6.2.0 Update filename</t>
  </si>
  <si>
    <t>PS 6.2.0 Update Download Pub ID</t>
  </si>
  <si>
    <t>PS-6.2.0.2-182.zip</t>
  </si>
  <si>
    <t>PS 6.2.1 Update Download Pub ID</t>
  </si>
  <si>
    <t>PS 6.2.1 Update filename</t>
  </si>
  <si>
    <t>PS-6.2.1.99-201.zip</t>
  </si>
  <si>
    <t>SMGR 6.3 ME Patch Plugin Updater Executable Download Pub ID</t>
  </si>
  <si>
    <t>SMGR 6.3 ME Patch Plugin Updater Executable filename</t>
  </si>
  <si>
    <t>CMME0000124</t>
  </si>
  <si>
    <t>CMME0000125</t>
  </si>
  <si>
    <r>
      <t xml:space="preserve">Repeat the PLDS download steps for </t>
    </r>
    <r>
      <rPr>
        <b/>
        <sz val="11"/>
        <color theme="1"/>
        <rFont val="Calibri"/>
        <family val="2"/>
        <scheme val="minor"/>
      </rPr>
      <t xml:space="preserve">Avaya Aura® Presence Services </t>
    </r>
    <r>
      <rPr>
        <sz val="11"/>
        <color theme="1"/>
        <rFont val="Calibri"/>
        <family val="2"/>
        <scheme val="minor"/>
      </rPr>
      <t>6.2.0 Service Pack.</t>
    </r>
  </si>
  <si>
    <r>
      <t xml:space="preserve">Repeat the PLDS download steps for </t>
    </r>
    <r>
      <rPr>
        <b/>
        <sz val="11"/>
        <color theme="1"/>
        <rFont val="Calibri"/>
        <family val="2"/>
        <scheme val="minor"/>
      </rPr>
      <t xml:space="preserve">Avaya Aura® Presence Services </t>
    </r>
    <r>
      <rPr>
        <sz val="11"/>
        <color theme="1"/>
        <rFont val="Calibri"/>
        <family val="2"/>
        <scheme val="minor"/>
      </rPr>
      <t>6.2.1 Service Pack.</t>
    </r>
  </si>
  <si>
    <t>Note: ONLY applicable when directly upgrading Avaya Aura® Presence Services (PS) 6.2.0 to 6.2.6</t>
  </si>
  <si>
    <t>Note: ONLY applicable when directly upgrading Avaya Aura® Presence Services (PS) 6.2.1 to 6.2.6</t>
  </si>
  <si>
    <t>The following details the high level instructions for applying an Avaya Aura® Presence Services patch.</t>
  </si>
  <si>
    <t>("wrench" / "spanner")</t>
  </si>
  <si>
    <t>(click on the "wrench" / "spanner")</t>
  </si>
  <si>
    <t>Maintenance -&gt; Server Data -&gt; Backup</t>
  </si>
  <si>
    <t>Click on the AES “wrench” / “spanner”.</t>
  </si>
  <si>
    <t>Log into the AES Management Console.</t>
  </si>
  <si>
    <t>Database Backup</t>
  </si>
  <si>
    <r>
      <t xml:space="preserve">(click on the </t>
    </r>
    <r>
      <rPr>
        <b/>
        <sz val="11"/>
        <color theme="1"/>
        <rFont val="Calibri"/>
        <family val="2"/>
        <scheme val="minor"/>
      </rPr>
      <t>Here</t>
    </r>
    <r>
      <rPr>
        <sz val="11"/>
        <color theme="1"/>
        <rFont val="Calibri"/>
        <family val="2"/>
        <scheme val="minor"/>
      </rPr>
      <t xml:space="preserve"> link)</t>
    </r>
  </si>
  <si>
    <r>
      <t xml:space="preserve">(The backup file can be downloaded from </t>
    </r>
    <r>
      <rPr>
        <b/>
        <sz val="11"/>
        <color theme="1"/>
        <rFont val="Calibri"/>
        <family val="2"/>
        <scheme val="minor"/>
      </rPr>
      <t>Here</t>
    </r>
    <r>
      <rPr>
        <sz val="11"/>
        <color theme="1"/>
        <rFont val="Calibri"/>
        <family val="2"/>
        <scheme val="minor"/>
      </rPr>
      <t>)</t>
    </r>
  </si>
  <si>
    <r>
      <rPr>
        <sz val="11"/>
        <color theme="1"/>
        <rFont val="Calibri"/>
        <family val="2"/>
        <scheme val="minor"/>
      </rPr>
      <t xml:space="preserve">(click </t>
    </r>
    <r>
      <rPr>
        <b/>
        <sz val="11"/>
        <color theme="1"/>
        <rFont val="Calibri"/>
        <family val="2"/>
        <scheme val="minor"/>
      </rPr>
      <t>OK</t>
    </r>
    <r>
      <rPr>
        <sz val="11"/>
        <color theme="1"/>
        <rFont val="Calibri"/>
        <family val="2"/>
        <scheme val="minor"/>
      </rPr>
      <t xml:space="preserve"> button to Save File)</t>
    </r>
  </si>
  <si>
    <t>(Save File pop-up)</t>
  </si>
  <si>
    <t>A file download dialog box is displayed, that allows you to either open or save the backup file.</t>
  </si>
  <si>
    <r>
      <t xml:space="preserve">AES backs up the database, and displays the Database Backup screen. This displays the following message: The backup file can be downloaded from </t>
    </r>
    <r>
      <rPr>
        <b/>
        <sz val="11"/>
        <rFont val="Calibri"/>
        <family val="2"/>
        <scheme val="minor"/>
      </rPr>
      <t>Here</t>
    </r>
  </si>
  <si>
    <r>
      <t xml:space="preserve">From the main menu, select </t>
    </r>
    <r>
      <rPr>
        <b/>
        <sz val="11"/>
        <rFont val="Calibri"/>
        <family val="2"/>
        <scheme val="minor"/>
      </rPr>
      <t>Maintenance -&gt;  Server Data -&gt; Backup</t>
    </r>
  </si>
  <si>
    <r>
      <t xml:space="preserve">Click on the </t>
    </r>
    <r>
      <rPr>
        <b/>
        <sz val="11"/>
        <rFont val="Calibri"/>
        <family val="2"/>
        <scheme val="minor"/>
      </rPr>
      <t>Continue</t>
    </r>
    <r>
      <rPr>
        <sz val="11"/>
        <rFont val="Calibri"/>
        <family val="2"/>
        <scheme val="minor"/>
      </rPr>
      <t xml:space="preserve"> button.</t>
    </r>
  </si>
  <si>
    <r>
      <t xml:space="preserve">On the System Platform web console, navigate to the </t>
    </r>
    <r>
      <rPr>
        <b/>
        <sz val="11"/>
        <color indexed="8"/>
        <rFont val="Calibri"/>
        <family val="2"/>
      </rPr>
      <t>Virtual Machine Management -&gt; Manage</t>
    </r>
    <r>
      <rPr>
        <sz val="11"/>
        <color indexed="8"/>
        <rFont val="Calibri"/>
        <family val="2"/>
      </rPr>
      <t xml:space="preserve"> page.</t>
    </r>
  </si>
  <si>
    <t>Make the file executable</t>
  </si>
  <si>
    <r>
      <rPr>
        <b/>
        <sz val="14"/>
        <color rgb="FFFF0000"/>
        <rFont val="Calibri"/>
        <family val="2"/>
        <scheme val="minor"/>
      </rPr>
      <t>Avaya Aura® Communication Manager (CM) Updates</t>
    </r>
    <r>
      <rPr>
        <b/>
        <sz val="11"/>
        <color rgb="FFFF0000"/>
        <rFont val="Calibri"/>
        <family val="2"/>
        <scheme val="minor"/>
      </rPr>
      <t xml:space="preserve">
Refer to each applicable PSN for each CM update available from </t>
    </r>
    <r>
      <rPr>
        <b/>
        <i/>
        <sz val="11"/>
        <color rgb="FFFF0000"/>
        <rFont val="Calibri"/>
        <family val="2"/>
        <scheme val="minor"/>
      </rPr>
      <t>Downloads &amp; Documents</t>
    </r>
    <r>
      <rPr>
        <b/>
        <sz val="11"/>
        <color rgb="FFFF0000"/>
        <rFont val="Calibri"/>
        <family val="2"/>
        <scheme val="minor"/>
      </rPr>
      <t xml:space="preserve"> on support.avaya.com for </t>
    </r>
    <r>
      <rPr>
        <b/>
        <i/>
        <sz val="11"/>
        <color rgb="FFFF0000"/>
        <rFont val="Calibri"/>
        <family val="2"/>
        <scheme val="minor"/>
      </rPr>
      <t>Avaya Aura® Communication Manager.</t>
    </r>
    <r>
      <rPr>
        <b/>
        <sz val="11"/>
        <color rgb="FFFF0000"/>
        <rFont val="Calibri"/>
        <family val="2"/>
        <scheme val="minor"/>
      </rPr>
      <t xml:space="preserve">
</t>
    </r>
  </si>
  <si>
    <r>
      <rPr>
        <b/>
        <sz val="14"/>
        <color rgb="FFFF0000"/>
        <rFont val="Calibri"/>
        <family val="2"/>
        <scheme val="minor"/>
      </rPr>
      <t>Avaya Aura® Application Enablement Services (AES) Feature / Service Pack Updates</t>
    </r>
    <r>
      <rPr>
        <b/>
        <sz val="11"/>
        <color rgb="FFFF0000"/>
        <rFont val="Calibri"/>
        <family val="2"/>
        <scheme val="minor"/>
      </rPr>
      <t xml:space="preserve">
Refer to each applicable PSN for each AES Feature / Service Pack update available from </t>
    </r>
    <r>
      <rPr>
        <b/>
        <i/>
        <sz val="11"/>
        <color rgb="FFFF0000"/>
        <rFont val="Calibri"/>
        <family val="2"/>
        <scheme val="minor"/>
      </rPr>
      <t>Downloads &amp; Documents</t>
    </r>
    <r>
      <rPr>
        <b/>
        <sz val="11"/>
        <color rgb="FFFF0000"/>
        <rFont val="Calibri"/>
        <family val="2"/>
        <scheme val="minor"/>
      </rPr>
      <t xml:space="preserve"> on support.avaya.com for </t>
    </r>
    <r>
      <rPr>
        <b/>
        <i/>
        <sz val="11"/>
        <color rgb="FFFF0000"/>
        <rFont val="Calibri"/>
        <family val="2"/>
        <scheme val="minor"/>
      </rPr>
      <t>Avaya Aura® Application Enablement Services.</t>
    </r>
    <r>
      <rPr>
        <b/>
        <sz val="11"/>
        <color rgb="FFFF0000"/>
        <rFont val="Calibri"/>
        <family val="2"/>
        <scheme val="minor"/>
      </rPr>
      <t xml:space="preserve">
</t>
    </r>
  </si>
  <si>
    <r>
      <rPr>
        <b/>
        <sz val="14"/>
        <color rgb="FFFF0000"/>
        <rFont val="Calibri"/>
        <family val="2"/>
        <scheme val="minor"/>
      </rPr>
      <t>Avaya Aura® Utility Services (US) Updates</t>
    </r>
    <r>
      <rPr>
        <b/>
        <sz val="11"/>
        <color rgb="FFFF0000"/>
        <rFont val="Calibri"/>
        <family val="2"/>
        <scheme val="minor"/>
      </rPr>
      <t xml:space="preserve">
Refer to each applicable PSN for each US update available from </t>
    </r>
    <r>
      <rPr>
        <b/>
        <i/>
        <sz val="11"/>
        <color rgb="FFFF0000"/>
        <rFont val="Calibri"/>
        <family val="2"/>
        <scheme val="minor"/>
      </rPr>
      <t>Downloads &amp; Documents</t>
    </r>
    <r>
      <rPr>
        <b/>
        <sz val="11"/>
        <color rgb="FFFF0000"/>
        <rFont val="Calibri"/>
        <family val="2"/>
        <scheme val="minor"/>
      </rPr>
      <t xml:space="preserve"> on support.avaya.com for </t>
    </r>
    <r>
      <rPr>
        <b/>
        <i/>
        <sz val="11"/>
        <color rgb="FFFF0000"/>
        <rFont val="Calibri"/>
        <family val="2"/>
        <scheme val="minor"/>
      </rPr>
      <t>Avaya Aura® Utility Services.</t>
    </r>
    <r>
      <rPr>
        <b/>
        <sz val="11"/>
        <color rgb="FFFF0000"/>
        <rFont val="Calibri"/>
        <family val="2"/>
        <scheme val="minor"/>
      </rPr>
      <t xml:space="preserve">
</t>
    </r>
  </si>
  <si>
    <r>
      <rPr>
        <b/>
        <sz val="14"/>
        <color rgb="FFFF0000"/>
        <rFont val="Calibri"/>
        <family val="2"/>
        <scheme val="minor"/>
      </rPr>
      <t>Avaya Aura® Communication Manager Messaging (CMM) Updates</t>
    </r>
    <r>
      <rPr>
        <b/>
        <sz val="11"/>
        <color rgb="FFFF0000"/>
        <rFont val="Calibri"/>
        <family val="2"/>
        <scheme val="minor"/>
      </rPr>
      <t xml:space="preserve">
Refer to each applicable PSN for each CMM update available from </t>
    </r>
    <r>
      <rPr>
        <b/>
        <i/>
        <sz val="11"/>
        <color rgb="FFFF0000"/>
        <rFont val="Calibri"/>
        <family val="2"/>
        <scheme val="minor"/>
      </rPr>
      <t>Downloads &amp; Documents</t>
    </r>
    <r>
      <rPr>
        <b/>
        <sz val="11"/>
        <color rgb="FFFF0000"/>
        <rFont val="Calibri"/>
        <family val="2"/>
        <scheme val="minor"/>
      </rPr>
      <t xml:space="preserve"> on support.avaya.com for </t>
    </r>
    <r>
      <rPr>
        <b/>
        <i/>
        <sz val="11"/>
        <color rgb="FFFF0000"/>
        <rFont val="Calibri"/>
        <family val="2"/>
        <scheme val="minor"/>
      </rPr>
      <t>Avaya Aura® Communication Manager Messaging.</t>
    </r>
    <r>
      <rPr>
        <b/>
        <sz val="11"/>
        <color rgb="FFFF0000"/>
        <rFont val="Calibri"/>
        <family val="2"/>
        <scheme val="minor"/>
      </rPr>
      <t xml:space="preserve">
</t>
    </r>
  </si>
  <si>
    <r>
      <rPr>
        <b/>
        <sz val="14"/>
        <color rgb="FFFF0000"/>
        <rFont val="Calibri"/>
        <family val="2"/>
        <scheme val="minor"/>
      </rPr>
      <t>Avaya Aura® Presence Services (PS) Feature / Service Pack Updates</t>
    </r>
    <r>
      <rPr>
        <b/>
        <sz val="11"/>
        <color rgb="FFFF0000"/>
        <rFont val="Calibri"/>
        <family val="2"/>
        <scheme val="minor"/>
      </rPr>
      <t xml:space="preserve">
Refer to the applicable Release Notes for the Presence Services Feature / Service Pack updates available from </t>
    </r>
    <r>
      <rPr>
        <b/>
        <i/>
        <sz val="11"/>
        <color rgb="FFFF0000"/>
        <rFont val="Calibri"/>
        <family val="2"/>
        <scheme val="minor"/>
      </rPr>
      <t>Downloads &amp; Documents</t>
    </r>
    <r>
      <rPr>
        <b/>
        <sz val="11"/>
        <color rgb="FFFF0000"/>
        <rFont val="Calibri"/>
        <family val="2"/>
        <scheme val="minor"/>
      </rPr>
      <t xml:space="preserve"> on support.avaya.com for </t>
    </r>
    <r>
      <rPr>
        <b/>
        <i/>
        <sz val="11"/>
        <color rgb="FFFF0000"/>
        <rFont val="Calibri"/>
        <family val="2"/>
        <scheme val="minor"/>
      </rPr>
      <t>Avaya Aura® Presence Services.</t>
    </r>
    <r>
      <rPr>
        <b/>
        <sz val="11"/>
        <color rgb="FFFF0000"/>
        <rFont val="Calibri"/>
        <family val="2"/>
        <scheme val="minor"/>
      </rPr>
      <t xml:space="preserve">
</t>
    </r>
  </si>
  <si>
    <r>
      <rPr>
        <b/>
        <sz val="14"/>
        <color rgb="FFFF0000"/>
        <rFont val="Calibri"/>
        <family val="2"/>
        <scheme val="minor"/>
      </rPr>
      <t>Avaya Aura® System Platform (SP) Feature / Service Pack Updates</t>
    </r>
    <r>
      <rPr>
        <b/>
        <sz val="11"/>
        <color rgb="FFFF0000"/>
        <rFont val="Calibri"/>
        <family val="2"/>
        <scheme val="minor"/>
      </rPr>
      <t xml:space="preserve">
Refer to the applicable Release Notes for the System Platform Feature / Service Pack updates available from </t>
    </r>
    <r>
      <rPr>
        <b/>
        <i/>
        <sz val="11"/>
        <color rgb="FFFF0000"/>
        <rFont val="Calibri"/>
        <family val="2"/>
        <scheme val="minor"/>
      </rPr>
      <t>Downloads &amp; Documents</t>
    </r>
    <r>
      <rPr>
        <b/>
        <sz val="11"/>
        <color rgb="FFFF0000"/>
        <rFont val="Calibri"/>
        <family val="2"/>
        <scheme val="minor"/>
      </rPr>
      <t xml:space="preserve"> on support.avaya.com for </t>
    </r>
    <r>
      <rPr>
        <b/>
        <i/>
        <sz val="11"/>
        <color rgb="FFFF0000"/>
        <rFont val="Calibri"/>
        <family val="2"/>
        <scheme val="minor"/>
      </rPr>
      <t>Avaya Aura® System Platform.</t>
    </r>
    <r>
      <rPr>
        <b/>
        <sz val="11"/>
        <color rgb="FFFF0000"/>
        <rFont val="Calibri"/>
        <family val="2"/>
        <scheme val="minor"/>
      </rPr>
      <t xml:space="preserve">
</t>
    </r>
  </si>
  <si>
    <r>
      <rPr>
        <b/>
        <sz val="14"/>
        <color rgb="FFFF0000"/>
        <rFont val="Calibri"/>
        <family val="2"/>
        <scheme val="minor"/>
      </rPr>
      <t>Avaya Aura® Presence Services Patches</t>
    </r>
    <r>
      <rPr>
        <b/>
        <sz val="11"/>
        <color rgb="FFFF0000"/>
        <rFont val="Calibri"/>
        <family val="2"/>
        <scheme val="minor"/>
      </rPr>
      <t xml:space="preserve">
Refer to each applicable PSN for each Presence Services patch available from </t>
    </r>
    <r>
      <rPr>
        <b/>
        <i/>
        <sz val="11"/>
        <color rgb="FFFF0000"/>
        <rFont val="Calibri"/>
        <family val="2"/>
        <scheme val="minor"/>
      </rPr>
      <t>Downloads &amp; Documents</t>
    </r>
    <r>
      <rPr>
        <b/>
        <sz val="11"/>
        <color rgb="FFFF0000"/>
        <rFont val="Calibri"/>
        <family val="2"/>
        <scheme val="minor"/>
      </rPr>
      <t xml:space="preserve"> on support.avaya.com for </t>
    </r>
    <r>
      <rPr>
        <b/>
        <i/>
        <sz val="11"/>
        <color rgb="FFFF0000"/>
        <rFont val="Calibri"/>
        <family val="2"/>
        <scheme val="minor"/>
      </rPr>
      <t>Avaya Aura® Presence Services.</t>
    </r>
    <r>
      <rPr>
        <b/>
        <sz val="11"/>
        <color rgb="FFFF0000"/>
        <rFont val="Calibri"/>
        <family val="2"/>
        <scheme val="minor"/>
      </rPr>
      <t xml:space="preserve">
</t>
    </r>
  </si>
  <si>
    <t>Step: Download Avaya Aura® Presence Services patch(es) to the Presence Services VM</t>
  </si>
  <si>
    <t>Step: Apply Avaya Aura® Presence Services (PS) patches to the Presence Services VM</t>
  </si>
  <si>
    <t>Step: Take a backup of the Avaya Aura® Application Enablement Services (AES) server data before applying the Linux Security Updates</t>
  </si>
  <si>
    <t>Note: If value is 0 then there is no update.</t>
  </si>
  <si>
    <t>System Platform Avaya Aura® 6.2 Feature Pack 4 xxx 2015 Update Download Pub ID</t>
  </si>
  <si>
    <t>System Platform Avaya Aura® 6.2 Feature Pack 4 xxx 2015 Update filename</t>
  </si>
  <si>
    <t>CMME0000175</t>
  </si>
  <si>
    <t>CMME0000176</t>
  </si>
  <si>
    <t>CMME0000177</t>
  </si>
  <si>
    <t>CMME0000178</t>
  </si>
  <si>
    <t>Services VM (including SAL Gateway) 3.0 Service Pack 1 (3.0.1) Download Pub ID</t>
  </si>
  <si>
    <t>CMME0000196</t>
  </si>
  <si>
    <t>Services VM (including SAL Gateway) 3.0 Service Pack 1 (3.0.1) update filename</t>
  </si>
  <si>
    <t>ServicesVM-3.0.1-1.zip</t>
  </si>
  <si>
    <t>AES 6.3.3 Linux Security Update Patch 3 Download Pub ID</t>
  </si>
  <si>
    <t>CMME0000198</t>
  </si>
  <si>
    <t>AES 6.3.3 Linux Security Update Patch 3 filename</t>
  </si>
  <si>
    <t>633_LSUPatch3.bin</t>
  </si>
  <si>
    <t>AES 6.3.3 Super Patch 5 Update Download Pub ID</t>
  </si>
  <si>
    <t>AES 6.3.3 Super Patch 5 Update filename</t>
  </si>
  <si>
    <t>CMME0000199</t>
  </si>
  <si>
    <t>633_SuperPatch_5.zip</t>
  </si>
  <si>
    <t>AES 6.x Bash Shellshock Security Patch Download Pub ID</t>
  </si>
  <si>
    <t>CMME0000197</t>
  </si>
  <si>
    <t>AES 6.x Bash Shellshock Security Patch filename</t>
  </si>
  <si>
    <t>aesvcs_bash_patch.bin</t>
  </si>
  <si>
    <t>CMM-03.0.141.0-0600.tar</t>
  </si>
  <si>
    <t>CMME0000203</t>
  </si>
  <si>
    <t>CMM 6.3 Service Pack 6 Download Pub ID</t>
  </si>
  <si>
    <t>CMM 6.3 Service Pack 6 filename</t>
  </si>
  <si>
    <t>US 6.3 Patch 4 Download Pub ID</t>
  </si>
  <si>
    <t>US 6.3 Patch 4 filename</t>
  </si>
  <si>
    <t>US 6.3 Patch 7 Download Pub ID</t>
  </si>
  <si>
    <t>CMME0000212</t>
  </si>
  <si>
    <t>US 6.3 Patch 7 filename</t>
  </si>
  <si>
    <t>util_patch_6.3.0.7.20.zip</t>
  </si>
  <si>
    <t>Step: Download Avaya Aura® 6.2 Feature Pack 4 (AA 6.2 FP4) December 2015 Updates</t>
  </si>
  <si>
    <r>
      <t xml:space="preserve">Repeat the PLDS download steps for the </t>
    </r>
    <r>
      <rPr>
        <b/>
        <sz val="11"/>
        <color theme="1"/>
        <rFont val="Calibri"/>
        <family val="2"/>
        <scheme val="minor"/>
      </rPr>
      <t>Avaya Aura® Application Enablement Services</t>
    </r>
    <r>
      <rPr>
        <sz val="11"/>
        <color theme="1"/>
        <rFont val="Calibri"/>
        <family val="2"/>
        <scheme val="minor"/>
      </rPr>
      <t xml:space="preserve"> 6.3.3 Super Patch 5 update file.</t>
    </r>
  </si>
  <si>
    <r>
      <t xml:space="preserve">Repeat the PLDS download steps for the </t>
    </r>
    <r>
      <rPr>
        <b/>
        <sz val="11"/>
        <color theme="1"/>
        <rFont val="Calibri"/>
        <family val="2"/>
        <scheme val="minor"/>
      </rPr>
      <t>Avaya Aura® Application Enablement Services</t>
    </r>
    <r>
      <rPr>
        <sz val="11"/>
        <color theme="1"/>
        <rFont val="Calibri"/>
        <family val="2"/>
        <scheme val="minor"/>
      </rPr>
      <t xml:space="preserve"> Linux Security Update Patch 3 file.</t>
    </r>
  </si>
  <si>
    <r>
      <t xml:space="preserve">Repeat the PLDS download steps for the </t>
    </r>
    <r>
      <rPr>
        <b/>
        <sz val="11"/>
        <color theme="1"/>
        <rFont val="Calibri"/>
        <family val="2"/>
        <scheme val="minor"/>
      </rPr>
      <t>Avaya Aura® Application Enablement Services</t>
    </r>
    <r>
      <rPr>
        <sz val="11"/>
        <color theme="1"/>
        <rFont val="Calibri"/>
        <family val="2"/>
        <scheme val="minor"/>
      </rPr>
      <t xml:space="preserve"> Bash Shellshock Security Patch file.</t>
    </r>
  </si>
  <si>
    <r>
      <t xml:space="preserve">Repeat the PLDS download steps for the </t>
    </r>
    <r>
      <rPr>
        <b/>
        <sz val="11"/>
        <color theme="1"/>
        <rFont val="Calibri"/>
        <family val="2"/>
        <scheme val="minor"/>
      </rPr>
      <t xml:space="preserve">Avaya Aura® Communication Manager Messaging </t>
    </r>
    <r>
      <rPr>
        <sz val="11"/>
        <color theme="1"/>
        <rFont val="Calibri"/>
        <family val="2"/>
        <scheme val="minor"/>
      </rPr>
      <t>6.3.6 Service Pack file.</t>
    </r>
  </si>
  <si>
    <r>
      <t xml:space="preserve">Repeat the PLDS download steps for the </t>
    </r>
    <r>
      <rPr>
        <b/>
        <sz val="11"/>
        <color theme="1"/>
        <rFont val="Calibri"/>
        <family val="2"/>
        <scheme val="minor"/>
      </rPr>
      <t>Avaya Aura® Utility Services</t>
    </r>
    <r>
      <rPr>
        <sz val="11"/>
        <color theme="1"/>
        <rFont val="Calibri"/>
        <family val="2"/>
        <scheme val="minor"/>
      </rPr>
      <t xml:space="preserve"> 6.3.x Patch 4 file.</t>
    </r>
  </si>
  <si>
    <r>
      <t xml:space="preserve">Repeat the above PLDS download steps for the </t>
    </r>
    <r>
      <rPr>
        <b/>
        <sz val="11"/>
        <color theme="1"/>
        <rFont val="Calibri"/>
        <family val="2"/>
        <scheme val="minor"/>
      </rPr>
      <t>Services VM</t>
    </r>
    <r>
      <rPr>
        <sz val="11"/>
        <color theme="1"/>
        <rFont val="Calibri"/>
        <family val="2"/>
        <scheme val="minor"/>
      </rPr>
      <t xml:space="preserve"> 3.0 Service Pack 1  file.</t>
    </r>
  </si>
  <si>
    <t>Locate and select the downloaded SP patch file as the source file for the file transfer.</t>
  </si>
  <si>
    <t xml:space="preserve">Browse to SP patch file in the WinSCP source machine window </t>
  </si>
  <si>
    <t>Click and drag the SP patch file from the WinSCP source window to /tmp in the WinSCP destination window.</t>
  </si>
  <si>
    <r>
      <t xml:space="preserve">Login to SP CLI as user </t>
    </r>
    <r>
      <rPr>
        <b/>
        <sz val="11"/>
        <rFont val="Calibri"/>
        <family val="2"/>
        <scheme val="minor"/>
      </rPr>
      <t>admin</t>
    </r>
  </si>
  <si>
    <r>
      <rPr>
        <b/>
        <sz val="14"/>
        <color rgb="FFFF0000"/>
        <rFont val="Calibri"/>
        <family val="2"/>
        <scheme val="minor"/>
      </rPr>
      <t>Services VM (SVM) Feature / Service Pack and Patch Updates</t>
    </r>
    <r>
      <rPr>
        <b/>
        <sz val="11"/>
        <color rgb="FFFF0000"/>
        <rFont val="Calibri"/>
        <family val="2"/>
        <scheme val="minor"/>
      </rPr>
      <t xml:space="preserve">
Refer to the applicable Release Notes for the Services VM Feature / Service Pack / Patch updates available from </t>
    </r>
    <r>
      <rPr>
        <b/>
        <i/>
        <sz val="11"/>
        <color rgb="FFFF0000"/>
        <rFont val="Calibri"/>
        <family val="2"/>
        <scheme val="minor"/>
      </rPr>
      <t>Downloads &amp; Documents</t>
    </r>
    <r>
      <rPr>
        <b/>
        <sz val="11"/>
        <color rgb="FFFF0000"/>
        <rFont val="Calibri"/>
        <family val="2"/>
        <scheme val="minor"/>
      </rPr>
      <t xml:space="preserve"> on support.avaya.com for </t>
    </r>
    <r>
      <rPr>
        <b/>
        <i/>
        <sz val="11"/>
        <color rgb="FFFF0000"/>
        <rFont val="Calibri"/>
        <family val="2"/>
        <scheme val="minor"/>
      </rPr>
      <t>Avaya Aura® System Platform.</t>
    </r>
    <r>
      <rPr>
        <b/>
        <sz val="11"/>
        <color rgb="FFFF0000"/>
        <rFont val="Calibri"/>
        <family val="2"/>
        <scheme val="minor"/>
      </rPr>
      <t xml:space="preserve">
</t>
    </r>
  </si>
  <si>
    <t>Step: Apply Avaya Aura® Services VM (SVM) Feature / Service Pack to SVM via System Platform</t>
  </si>
  <si>
    <r>
      <rPr>
        <b/>
        <sz val="14"/>
        <color rgb="FFFF0000"/>
        <rFont val="Calibri"/>
        <family val="2"/>
        <scheme val="minor"/>
      </rPr>
      <t>Avaya Aura® Application Enablement Services (AES) Linux Security and Patch Updates</t>
    </r>
    <r>
      <rPr>
        <b/>
        <sz val="11"/>
        <color rgb="FFFF0000"/>
        <rFont val="Calibri"/>
        <family val="2"/>
        <scheme val="minor"/>
      </rPr>
      <t xml:space="preserve">
Refer to each applicable PSN for each AES update available from </t>
    </r>
    <r>
      <rPr>
        <b/>
        <i/>
        <sz val="11"/>
        <color rgb="FFFF0000"/>
        <rFont val="Calibri"/>
        <family val="2"/>
        <scheme val="minor"/>
      </rPr>
      <t>Downloads &amp; Documents</t>
    </r>
    <r>
      <rPr>
        <b/>
        <sz val="11"/>
        <color rgb="FFFF0000"/>
        <rFont val="Calibri"/>
        <family val="2"/>
        <scheme val="minor"/>
      </rPr>
      <t xml:space="preserve"> on support.avaya.com for </t>
    </r>
    <r>
      <rPr>
        <b/>
        <i/>
        <sz val="11"/>
        <color rgb="FFFF0000"/>
        <rFont val="Calibri"/>
        <family val="2"/>
        <scheme val="minor"/>
      </rPr>
      <t>Avaya Aura® Application Enablement Services.</t>
    </r>
    <r>
      <rPr>
        <b/>
        <sz val="11"/>
        <color rgb="FFFF0000"/>
        <rFont val="Calibri"/>
        <family val="2"/>
        <scheme val="minor"/>
      </rPr>
      <t xml:space="preserve">
</t>
    </r>
  </si>
  <si>
    <t>Step: Apply Avaya Aura® Application Enablement Services (AES) Linux Security Update Patch 3 to the AES VM via System Platform</t>
  </si>
  <si>
    <t>Locate and select the downloaded AES Security Patch file as the source file for the file transfer.</t>
  </si>
  <si>
    <t xml:space="preserve">Browse to AES Security Patch file in the WinSCP source machine window </t>
  </si>
  <si>
    <t>Click and drag the Security Patch file from the WinSCP source window to /tmp in the WinSCP destination window.</t>
  </si>
  <si>
    <t>Step: Apply Avaya Aura® Application Enablement Services (AES) Bash Shellshock Patch to the AES VM via AES CLI</t>
  </si>
  <si>
    <t>Locate and select the downloaded AES Patch file as the source file for the file transfer.</t>
  </si>
  <si>
    <t xml:space="preserve">Browse to AES Patch file in the WinSCP source machine window </t>
  </si>
  <si>
    <t>Click and drag the Patch file from the WinSCP source window to /tmp in the WinSCP destination window.</t>
  </si>
  <si>
    <t>Step: Apply Avaya Aura® Utility Services (US) ASG update patch to the Utility Services VM via System Platform</t>
  </si>
  <si>
    <r>
      <rPr>
        <b/>
        <sz val="14"/>
        <color rgb="FFFF0000"/>
        <rFont val="Calibri"/>
        <family val="2"/>
        <scheme val="minor"/>
      </rPr>
      <t>Avaya Aura® Session Manager (SM) Feature / Service Pack and Patch Updates</t>
    </r>
    <r>
      <rPr>
        <b/>
        <sz val="11"/>
        <color rgb="FFFF0000"/>
        <rFont val="Calibri"/>
        <family val="2"/>
        <scheme val="minor"/>
      </rPr>
      <t xml:space="preserve">
Refer to the applicable Release Notes for the Session Manager Feature / Service Pack updates available from </t>
    </r>
    <r>
      <rPr>
        <b/>
        <i/>
        <sz val="11"/>
        <color rgb="FFFF0000"/>
        <rFont val="Calibri"/>
        <family val="2"/>
        <scheme val="minor"/>
      </rPr>
      <t>Downloads &amp; Documents</t>
    </r>
    <r>
      <rPr>
        <b/>
        <sz val="11"/>
        <color rgb="FFFF0000"/>
        <rFont val="Calibri"/>
        <family val="2"/>
        <scheme val="minor"/>
      </rPr>
      <t xml:space="preserve"> on support.avaya.com for </t>
    </r>
    <r>
      <rPr>
        <b/>
        <i/>
        <sz val="11"/>
        <color rgb="FFFF0000"/>
        <rFont val="Calibri"/>
        <family val="2"/>
        <scheme val="minor"/>
      </rPr>
      <t>Avaya Aura® Session Manager.</t>
    </r>
    <r>
      <rPr>
        <b/>
        <sz val="11"/>
        <color rgb="FFFF0000"/>
        <rFont val="Calibri"/>
        <family val="2"/>
        <scheme val="minor"/>
      </rPr>
      <t xml:space="preserve">
</t>
    </r>
  </si>
  <si>
    <r>
      <rPr>
        <b/>
        <sz val="14"/>
        <color rgb="FFFF0000"/>
        <rFont val="Calibri"/>
        <family val="2"/>
        <scheme val="minor"/>
      </rPr>
      <t>Avaya Aura® System Manager (SMGR) Feature / Service Pack and Patch Updates</t>
    </r>
    <r>
      <rPr>
        <b/>
        <sz val="11"/>
        <color rgb="FFFF0000"/>
        <rFont val="Calibri"/>
        <family val="2"/>
        <scheme val="minor"/>
      </rPr>
      <t xml:space="preserve">
Refer to the applicable Release Notes for the System Manager Feature / Service Pack updates available from </t>
    </r>
    <r>
      <rPr>
        <b/>
        <i/>
        <sz val="11"/>
        <color rgb="FFFF0000"/>
        <rFont val="Calibri"/>
        <family val="2"/>
        <scheme val="minor"/>
      </rPr>
      <t>Downloads &amp; Documents</t>
    </r>
    <r>
      <rPr>
        <b/>
        <sz val="11"/>
        <color rgb="FFFF0000"/>
        <rFont val="Calibri"/>
        <family val="2"/>
        <scheme val="minor"/>
      </rPr>
      <t xml:space="preserve"> on support.avaya.com for </t>
    </r>
    <r>
      <rPr>
        <b/>
        <i/>
        <sz val="11"/>
        <color rgb="FFFF0000"/>
        <rFont val="Calibri"/>
        <family val="2"/>
        <scheme val="minor"/>
      </rPr>
      <t>Avaya Aura® System Manager.</t>
    </r>
    <r>
      <rPr>
        <b/>
        <sz val="11"/>
        <color rgb="FFFF0000"/>
        <rFont val="Calibri"/>
        <family val="2"/>
        <scheme val="minor"/>
      </rPr>
      <t xml:space="preserve">
</t>
    </r>
  </si>
  <si>
    <t>CMME0000213</t>
  </si>
  <si>
    <t>vsp-patch-6.3.8.01002.0.noarch.rpm</t>
  </si>
  <si>
    <t>Services VM (including SAL Gateway) Download Pub ID</t>
  </si>
  <si>
    <t>Services VM (including SAL Gateway) update filename</t>
  </si>
  <si>
    <t>Services VM Sanity Update Download Pub ID</t>
  </si>
  <si>
    <t>CMME0000214</t>
  </si>
  <si>
    <t>Services VM Sanity Update filename</t>
  </si>
  <si>
    <t>svm_sanity_1.0.1.bsx</t>
  </si>
  <si>
    <t>AES 6.3 Avaya Aura® 6.2 Feature Pack 4 March 2016 Updates</t>
  </si>
  <si>
    <t>CM 6.3 Avaya Aura® 6.2 Feature Pack 4 March 2016 Updates</t>
  </si>
  <si>
    <t>CMM 6.3 Avaya Aura® 6.2 Feature Pack 4 March 2016 Updates</t>
  </si>
  <si>
    <t>PS 6.2 Avaya Aura® 6.2 Feature Pack 4 March 2016 Updates</t>
  </si>
  <si>
    <t>SM 6.3 Avaya Aura® 6.2 Feature Pack 4 March 2016 Updates</t>
  </si>
  <si>
    <t>SMGR 6.3 Avaya Aura® 6.2 Feature Pack 4 March 2016 Updates</t>
  </si>
  <si>
    <t>US 6.3 Avaya Aura® 6.2 Feature Pack 4 March 2016 Updates</t>
  </si>
  <si>
    <t>CM 6.3.114 Update Download Pub ID</t>
  </si>
  <si>
    <t>CM 6.3.114 Update filename</t>
  </si>
  <si>
    <t>03.0.141.0-22901.tar</t>
  </si>
  <si>
    <t>CMME0000216</t>
  </si>
  <si>
    <t>CMME0000218</t>
  </si>
  <si>
    <t>KERNEL-2.6.18-406.AV1.tar</t>
  </si>
  <si>
    <t>CMME0000217</t>
  </si>
  <si>
    <t>PLAT-rhel5.3-3020.tar</t>
  </si>
  <si>
    <t>CM 6.3 Kernel Service Pack 5 (KSP5)</t>
  </si>
  <si>
    <t>CM 6.3 KSP5 filename</t>
  </si>
  <si>
    <t>CM 6.3 Security Service Pack 7 (SSP7)</t>
  </si>
  <si>
    <t>PS 6.2.7 Update Download Pub ID</t>
  </si>
  <si>
    <t>CMME0000219</t>
  </si>
  <si>
    <t>PS 6.2.7 Update filename</t>
  </si>
  <si>
    <t>PS-6.2.7.0-58.zip</t>
  </si>
  <si>
    <t>PS 6.2.7 Patch 1 Download Pub ID</t>
  </si>
  <si>
    <t>CMME0000220</t>
  </si>
  <si>
    <t>PS 6.2.7 Patch 1 filename</t>
  </si>
  <si>
    <t>PS-6.2.7.1-58.zip</t>
  </si>
  <si>
    <t>CMME0000221</t>
  </si>
  <si>
    <t>asm-6.3.17.0.631705-installer.iso</t>
  </si>
  <si>
    <t>SM 6.3.17 Update Download Pub ID</t>
  </si>
  <si>
    <t>SM 6.3.17 Update filename</t>
  </si>
  <si>
    <t>CMME0000222</t>
  </si>
  <si>
    <t>System_Manager_6.3.17_r5404616.bin</t>
  </si>
  <si>
    <t>SMGR 6.3.17 Updates Download Pub ID</t>
  </si>
  <si>
    <t>SMGR 6.3.17 Updates filename</t>
  </si>
  <si>
    <t>CMME0000223</t>
  </si>
  <si>
    <t>util_patch_6.3.13.0.20.zip</t>
  </si>
  <si>
    <t>US 6.3 Service Pack 13 Download Pub ID</t>
  </si>
  <si>
    <t>US 6.3 Service Pack 13 filename</t>
  </si>
  <si>
    <t>US 6.3 Patch 9 Download Pub ID</t>
  </si>
  <si>
    <t>CMME0000224</t>
  </si>
  <si>
    <t>US 6.3 Patch 9 filename</t>
  </si>
  <si>
    <t>util_patch_6.3.0.9.20.zip</t>
  </si>
  <si>
    <r>
      <t xml:space="preserve">Repeat the above PLDS download steps for the </t>
    </r>
    <r>
      <rPr>
        <b/>
        <sz val="11"/>
        <color theme="1"/>
        <rFont val="Calibri"/>
        <family val="2"/>
        <scheme val="minor"/>
      </rPr>
      <t>Avaya Aura® System Platform</t>
    </r>
    <r>
      <rPr>
        <sz val="11"/>
        <color theme="1"/>
        <rFont val="Calibri"/>
        <family val="2"/>
        <scheme val="minor"/>
      </rPr>
      <t xml:space="preserve"> 6.3.8 Service Pack file.</t>
    </r>
  </si>
  <si>
    <r>
      <t xml:space="preserve">Repeat the above PLDS download steps for the </t>
    </r>
    <r>
      <rPr>
        <b/>
        <sz val="11"/>
        <color theme="1"/>
        <rFont val="Calibri"/>
        <family val="2"/>
        <scheme val="minor"/>
      </rPr>
      <t>Services VM</t>
    </r>
    <r>
      <rPr>
        <sz val="11"/>
        <color theme="1"/>
        <rFont val="Calibri"/>
        <family val="2"/>
        <scheme val="minor"/>
      </rPr>
      <t xml:space="preserve"> Sanity Update file.</t>
    </r>
  </si>
  <si>
    <r>
      <t xml:space="preserve">Repeat the PLDS download steps for the </t>
    </r>
    <r>
      <rPr>
        <b/>
        <sz val="11"/>
        <color theme="1"/>
        <rFont val="Calibri"/>
        <family val="2"/>
        <scheme val="minor"/>
      </rPr>
      <t xml:space="preserve">Avaya Aura® Communication Manager </t>
    </r>
    <r>
      <rPr>
        <sz val="11"/>
        <color theme="1"/>
        <rFont val="Calibri"/>
        <family val="2"/>
        <scheme val="minor"/>
      </rPr>
      <t>6.3.114 Service Pack file.</t>
    </r>
  </si>
  <si>
    <r>
      <t xml:space="preserve">Repeat the PLDS download steps for the </t>
    </r>
    <r>
      <rPr>
        <b/>
        <sz val="11"/>
        <color theme="1"/>
        <rFont val="Calibri"/>
        <family val="2"/>
        <scheme val="minor"/>
      </rPr>
      <t xml:space="preserve">Avaya Aura® Communication Manager </t>
    </r>
    <r>
      <rPr>
        <sz val="11"/>
        <color theme="1"/>
        <rFont val="Calibri"/>
        <family val="2"/>
        <scheme val="minor"/>
      </rPr>
      <t>6.3 KSP5 kernel</t>
    </r>
    <r>
      <rPr>
        <b/>
        <sz val="11"/>
        <color theme="1"/>
        <rFont val="Calibri"/>
        <family val="2"/>
        <scheme val="minor"/>
      </rPr>
      <t xml:space="preserve"> </t>
    </r>
    <r>
      <rPr>
        <sz val="11"/>
        <color theme="1"/>
        <rFont val="Calibri"/>
        <family val="2"/>
        <scheme val="minor"/>
      </rPr>
      <t>update file.</t>
    </r>
  </si>
  <si>
    <r>
      <t xml:space="preserve">Repeat the PLDS download steps for the </t>
    </r>
    <r>
      <rPr>
        <b/>
        <sz val="11"/>
        <color theme="1"/>
        <rFont val="Calibri"/>
        <family val="2"/>
        <scheme val="minor"/>
      </rPr>
      <t xml:space="preserve">Avaya Aura® Communication Manager </t>
    </r>
    <r>
      <rPr>
        <sz val="11"/>
        <color theme="1"/>
        <rFont val="Calibri"/>
        <family val="2"/>
        <scheme val="minor"/>
      </rPr>
      <t>6.3 SSP7 security</t>
    </r>
    <r>
      <rPr>
        <b/>
        <sz val="11"/>
        <color theme="1"/>
        <rFont val="Calibri"/>
        <family val="2"/>
        <scheme val="minor"/>
      </rPr>
      <t xml:space="preserve"> </t>
    </r>
    <r>
      <rPr>
        <sz val="11"/>
        <color theme="1"/>
        <rFont val="Calibri"/>
        <family val="2"/>
        <scheme val="minor"/>
      </rPr>
      <t>update file.</t>
    </r>
  </si>
  <si>
    <r>
      <t xml:space="preserve">Repeat the PLDS download steps for </t>
    </r>
    <r>
      <rPr>
        <b/>
        <sz val="11"/>
        <color theme="1"/>
        <rFont val="Calibri"/>
        <family val="2"/>
        <scheme val="minor"/>
      </rPr>
      <t xml:space="preserve">Avaya Aura® Presence Services </t>
    </r>
    <r>
      <rPr>
        <sz val="11"/>
        <color theme="1"/>
        <rFont val="Calibri"/>
        <family val="2"/>
        <scheme val="minor"/>
      </rPr>
      <t>6.2.7.0 Service Pack.</t>
    </r>
  </si>
  <si>
    <r>
      <t xml:space="preserve">Repeat the PLDS download steps for </t>
    </r>
    <r>
      <rPr>
        <b/>
        <sz val="11"/>
        <color theme="1"/>
        <rFont val="Calibri"/>
        <family val="2"/>
        <scheme val="minor"/>
      </rPr>
      <t xml:space="preserve">Avaya Aura® Presence Services </t>
    </r>
    <r>
      <rPr>
        <sz val="11"/>
        <color theme="1"/>
        <rFont val="Calibri"/>
        <family val="2"/>
        <scheme val="minor"/>
      </rPr>
      <t>6.2.7.1 Patch 1 file.</t>
    </r>
  </si>
  <si>
    <r>
      <t xml:space="preserve">Repeat the PLDS download steps for </t>
    </r>
    <r>
      <rPr>
        <b/>
        <sz val="11"/>
        <color theme="1"/>
        <rFont val="Calibri"/>
        <family val="2"/>
        <scheme val="minor"/>
      </rPr>
      <t>Avaya Aura® Session Manager</t>
    </r>
    <r>
      <rPr>
        <sz val="11"/>
        <color theme="1"/>
        <rFont val="Calibri"/>
        <family val="2"/>
        <scheme val="minor"/>
      </rPr>
      <t xml:space="preserve"> 6.3.17 Service Pack file.</t>
    </r>
  </si>
  <si>
    <r>
      <t xml:space="preserve">Repeat the PLDS download steps for the </t>
    </r>
    <r>
      <rPr>
        <b/>
        <sz val="11"/>
        <color theme="1"/>
        <rFont val="Calibri"/>
        <family val="2"/>
        <scheme val="minor"/>
      </rPr>
      <t>Avaya Aura® System Manager</t>
    </r>
    <r>
      <rPr>
        <sz val="11"/>
        <color theme="1"/>
        <rFont val="Calibri"/>
        <family val="2"/>
        <scheme val="minor"/>
      </rPr>
      <t xml:space="preserve"> 6.3.17 Service Pack file.</t>
    </r>
  </si>
  <si>
    <r>
      <t xml:space="preserve">Repeat the PLDS download steps for the </t>
    </r>
    <r>
      <rPr>
        <b/>
        <sz val="11"/>
        <color theme="1"/>
        <rFont val="Calibri"/>
        <family val="2"/>
        <scheme val="minor"/>
      </rPr>
      <t>Avaya Aura® Utility Services</t>
    </r>
    <r>
      <rPr>
        <sz val="11"/>
        <color theme="1"/>
        <rFont val="Calibri"/>
        <family val="2"/>
        <scheme val="minor"/>
      </rPr>
      <t xml:space="preserve"> 6.3.13 Service Pack file.</t>
    </r>
  </si>
  <si>
    <t>Repeat the PLDS download steps for the Avaya Aura® Utility Services 6.3.x Patch 7 file.</t>
  </si>
  <si>
    <t xml:space="preserve">Access Security Gateway keys update. </t>
  </si>
  <si>
    <t>Repeat the PLDS download steps for the Avaya Aura® Utility Services 6.3.x Patch 9 file.</t>
  </si>
  <si>
    <t xml:space="preserve">Reinstatement of CBC ciphers support for SSH. </t>
  </si>
  <si>
    <r>
      <t xml:space="preserve">Note:  </t>
    </r>
    <r>
      <rPr>
        <b/>
        <sz val="11"/>
        <color theme="1"/>
        <rFont val="Calibri"/>
        <family val="2"/>
        <scheme val="minor"/>
      </rPr>
      <t>NOT</t>
    </r>
    <r>
      <rPr>
        <sz val="11"/>
        <color theme="1"/>
        <rFont val="Calibri"/>
        <family val="2"/>
        <scheme val="minor"/>
      </rPr>
      <t xml:space="preserve"> applicable for Pre-Staged systems. Utility Services 6.3 Service Packs 1 and 2 do not uninstall cleanly, breaking future application of patches/Service Packs. See PSN027002u for further details and resolution.</t>
    </r>
  </si>
  <si>
    <t>WARNING: All applications must first be updated to their March 2016 release level before updating to Avaya Aura® System Platform 6.3.8.</t>
  </si>
  <si>
    <r>
      <rPr>
        <b/>
        <sz val="11"/>
        <color rgb="FFFF0000"/>
        <rFont val="Calibri"/>
        <family val="2"/>
        <scheme val="minor"/>
      </rPr>
      <t xml:space="preserve">WARNING: </t>
    </r>
    <r>
      <rPr>
        <sz val="11"/>
        <color rgb="FFFF0000"/>
        <rFont val="Calibri"/>
        <family val="2"/>
        <scheme val="minor"/>
      </rPr>
      <t>All applications must first be updated to their March 2016 release level before updating to Avaya Aura® System Platform 6.3.8.</t>
    </r>
  </si>
  <si>
    <t>Step: Apply Avaya Aura® System Platform Update</t>
  </si>
  <si>
    <t>Step: Apply Services VM (SVM) Sanity Patch</t>
  </si>
  <si>
    <t>Use WinSCP or similar file transfer utility to connect to SVM.</t>
  </si>
  <si>
    <t>Open a Putty SSH session to the SP SVM IP address.</t>
  </si>
  <si>
    <t>SVM IP address</t>
  </si>
  <si>
    <t>Execute the SVM sanity patch file.</t>
  </si>
  <si>
    <r>
      <rPr>
        <sz val="11"/>
        <color rgb="FFFF0000"/>
        <rFont val="Calibri"/>
        <family val="2"/>
        <scheme val="minor"/>
      </rPr>
      <t xml:space="preserve">For further details refer to the </t>
    </r>
    <r>
      <rPr>
        <b/>
        <sz val="11"/>
        <color rgb="FFFF0000"/>
        <rFont val="Calibri"/>
        <family val="2"/>
        <scheme val="minor"/>
      </rPr>
      <t>Services-VM Sanity Patch (svm_sanity_1.0.1) – Release Notes</t>
    </r>
  </si>
  <si>
    <t>Step: Apply Avaya Aura® System Platform Platform Upgrade</t>
  </si>
  <si>
    <t>Use System Platform .iso file to create a DVD</t>
  </si>
  <si>
    <t>System Platform .iso file</t>
  </si>
  <si>
    <t>Insert DVD in the ME server CD/DVD drive</t>
  </si>
  <si>
    <t>(Insert media into ME Server CD/DVD drive)</t>
  </si>
  <si>
    <t>Server Management -&gt; Platform Upgrade</t>
  </si>
  <si>
    <t xml:space="preserve"> Upgrade Platform From: (menu)</t>
  </si>
  <si>
    <t>Choose SP CD/DVD</t>
  </si>
  <si>
    <t>Search (button)</t>
  </si>
  <si>
    <t>Select Upgrade Template</t>
  </si>
  <si>
    <t>VSP.ovf</t>
  </si>
  <si>
    <t>Upgrade (button)</t>
  </si>
  <si>
    <t>Note: The screen displays a notice indicating that the system is restarting, and that you should wait 5 minutes, until the browser restarts.</t>
  </si>
  <si>
    <t>When the web console login screen re-appears, login as admin</t>
  </si>
  <si>
    <t>Status: Platform Upgrade Complete</t>
  </si>
  <si>
    <r>
      <t xml:space="preserve">Navigate to </t>
    </r>
    <r>
      <rPr>
        <b/>
        <sz val="11"/>
        <color indexed="8"/>
        <rFont val="Calibri"/>
        <family val="2"/>
      </rPr>
      <t>Server Management -&gt; Platform Upgrade</t>
    </r>
  </si>
  <si>
    <r>
      <t xml:space="preserve">Select </t>
    </r>
    <r>
      <rPr>
        <b/>
        <sz val="11"/>
        <color indexed="8"/>
        <rFont val="Calibri"/>
        <family val="2"/>
      </rPr>
      <t>SP CD/DVD</t>
    </r>
    <r>
      <rPr>
        <sz val="11"/>
        <color theme="1"/>
        <rFont val="Calibri"/>
        <family val="2"/>
        <scheme val="minor"/>
      </rPr>
      <t xml:space="preserve"> in the </t>
    </r>
    <r>
      <rPr>
        <b/>
        <sz val="11"/>
        <color indexed="8"/>
        <rFont val="Calibri"/>
        <family val="2"/>
      </rPr>
      <t>Upgrade Platform From:</t>
    </r>
    <r>
      <rPr>
        <sz val="11"/>
        <color theme="1"/>
        <rFont val="Calibri"/>
        <family val="2"/>
        <scheme val="minor"/>
      </rPr>
      <t xml:space="preserve"> menu</t>
    </r>
  </si>
  <si>
    <r>
      <t xml:space="preserve">Click the </t>
    </r>
    <r>
      <rPr>
        <b/>
        <sz val="11"/>
        <color indexed="8"/>
        <rFont val="Calibri"/>
        <family val="2"/>
      </rPr>
      <t xml:space="preserve">Search </t>
    </r>
    <r>
      <rPr>
        <sz val="11"/>
        <color theme="1"/>
        <rFont val="Calibri"/>
        <family val="2"/>
        <scheme val="minor"/>
      </rPr>
      <t>button</t>
    </r>
  </si>
  <si>
    <r>
      <t xml:space="preserve">Select </t>
    </r>
    <r>
      <rPr>
        <b/>
        <sz val="11"/>
        <color theme="1"/>
        <rFont val="Calibri"/>
        <family val="2"/>
        <scheme val="minor"/>
      </rPr>
      <t>VSP.ovf</t>
    </r>
    <r>
      <rPr>
        <sz val="11"/>
        <color theme="1"/>
        <rFont val="Calibri"/>
        <family val="2"/>
        <scheme val="minor"/>
      </rPr>
      <t xml:space="preserve"> template</t>
    </r>
  </si>
  <si>
    <r>
      <t xml:space="preserve">Click the </t>
    </r>
    <r>
      <rPr>
        <b/>
        <sz val="11"/>
        <color theme="1"/>
        <rFont val="Calibri"/>
        <family val="2"/>
        <scheme val="minor"/>
      </rPr>
      <t>Select</t>
    </r>
    <r>
      <rPr>
        <sz val="11"/>
        <color theme="1"/>
        <rFont val="Calibri"/>
        <family val="2"/>
        <scheme val="minor"/>
      </rPr>
      <t xml:space="preserve"> button</t>
    </r>
  </si>
  <si>
    <r>
      <t xml:space="preserve">Click the </t>
    </r>
    <r>
      <rPr>
        <b/>
        <sz val="11"/>
        <color theme="1"/>
        <rFont val="Calibri"/>
        <family val="2"/>
        <scheme val="minor"/>
      </rPr>
      <t>Upgrade</t>
    </r>
    <r>
      <rPr>
        <sz val="11"/>
        <color theme="1"/>
        <rFont val="Calibri"/>
        <family val="2"/>
        <scheme val="minor"/>
      </rPr>
      <t xml:space="preserve"> button</t>
    </r>
  </si>
  <si>
    <r>
      <t xml:space="preserve">Click the </t>
    </r>
    <r>
      <rPr>
        <b/>
        <sz val="11"/>
        <color theme="1"/>
        <rFont val="Calibri"/>
        <family val="2"/>
        <scheme val="minor"/>
      </rPr>
      <t>OK</t>
    </r>
    <r>
      <rPr>
        <sz val="11"/>
        <color theme="1"/>
        <rFont val="Calibri"/>
        <family val="2"/>
        <scheme val="minor"/>
      </rPr>
      <t xml:space="preserve"> button when warning prompt appears (pop-up)</t>
    </r>
  </si>
  <si>
    <r>
      <t xml:space="preserve">Click the </t>
    </r>
    <r>
      <rPr>
        <b/>
        <sz val="11"/>
        <color theme="1"/>
        <rFont val="Calibri"/>
        <family val="2"/>
        <scheme val="minor"/>
      </rPr>
      <t>Commit</t>
    </r>
    <r>
      <rPr>
        <sz val="11"/>
        <color theme="1"/>
        <rFont val="Calibri"/>
        <family val="2"/>
        <scheme val="minor"/>
      </rPr>
      <t xml:space="preserve"> button</t>
    </r>
  </si>
  <si>
    <t>Step: Apply Avaya Aura® Utility Services (US) Update to Reinstate CBC Ciphers Support for SSH.</t>
  </si>
  <si>
    <t>Enter the AAC SE Conference Bridge Server IP Address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</si>
</sst>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41" x14ac:knownFonts="1">
    <font>
      <sz val="11"/>
      <color theme="1"/>
      <name val="Calibri"/>
      <family val="2"/>
      <scheme val="minor"/>
    </font>
    <font>
      <sz val="11"/>
      <color indexed="8"/>
      <name val="Calibri"/>
      <family val="2"/>
    </font>
    <font>
      <b/>
      <sz val="11"/>
      <color indexed="8"/>
      <name val="Calibri"/>
      <family val="2"/>
    </font>
    <font>
      <b/>
      <sz val="11"/>
      <name val="Calibri"/>
      <family val="2"/>
    </font>
    <font>
      <sz val="11"/>
      <name val="Calibri"/>
      <family val="2"/>
    </font>
    <font>
      <sz val="11"/>
      <name val="Calibri"/>
      <family val="2"/>
    </font>
    <font>
      <b/>
      <sz val="11"/>
      <color indexed="10"/>
      <name val="Calibri"/>
      <family val="2"/>
    </font>
    <font>
      <b/>
      <u/>
      <sz val="11"/>
      <color indexed="8"/>
      <name val="Calibri"/>
      <family val="2"/>
    </font>
    <font>
      <b/>
      <u/>
      <sz val="11"/>
      <color indexed="10"/>
      <name val="Calibri"/>
      <family val="2"/>
    </font>
    <font>
      <u/>
      <sz val="11"/>
      <color indexed="8"/>
      <name val="Calibri"/>
      <family val="2"/>
    </font>
    <font>
      <b/>
      <sz val="11"/>
      <color indexed="17"/>
      <name val="Calibri"/>
      <family val="2"/>
    </font>
    <font>
      <b/>
      <sz val="11"/>
      <color indexed="12"/>
      <name val="Calibri"/>
      <family val="2"/>
    </font>
    <font>
      <sz val="11"/>
      <color indexed="12"/>
      <name val="Calibri"/>
      <family val="2"/>
    </font>
    <font>
      <b/>
      <sz val="12"/>
      <name val="Calibri"/>
      <family val="2"/>
    </font>
    <font>
      <b/>
      <sz val="12"/>
      <color indexed="8"/>
      <name val="Calibri"/>
      <family val="2"/>
    </font>
    <font>
      <b/>
      <sz val="12"/>
      <color indexed="17"/>
      <name val="Calibri"/>
      <family val="2"/>
    </font>
    <font>
      <sz val="12"/>
      <color indexed="8"/>
      <name val="Calibri"/>
      <family val="2"/>
    </font>
    <font>
      <sz val="12"/>
      <name val="Calibri"/>
      <family val="2"/>
    </font>
    <font>
      <b/>
      <u/>
      <sz val="12"/>
      <name val="Calibri"/>
      <family val="2"/>
    </font>
    <font>
      <b/>
      <sz val="18"/>
      <name val="Calibri"/>
      <family val="2"/>
    </font>
    <font>
      <b/>
      <u/>
      <sz val="11"/>
      <name val="Calibri"/>
      <family val="2"/>
    </font>
    <font>
      <u/>
      <sz val="11"/>
      <color theme="10"/>
      <name val="Calibri"/>
      <family val="2"/>
    </font>
    <font>
      <b/>
      <sz val="11"/>
      <color rgb="FFFF0000"/>
      <name val="Calibri"/>
      <family val="2"/>
      <scheme val="minor"/>
    </font>
    <font>
      <sz val="11"/>
      <name val="Calibri"/>
      <family val="2"/>
      <scheme val="minor"/>
    </font>
    <font>
      <b/>
      <sz val="11"/>
      <color theme="1"/>
      <name val="Calibri"/>
      <family val="2"/>
      <scheme val="minor"/>
    </font>
    <font>
      <b/>
      <sz val="11"/>
      <color rgb="FFFF0000"/>
      <name val="Calibri"/>
      <family val="2"/>
    </font>
    <font>
      <b/>
      <sz val="11"/>
      <color rgb="FF00B050"/>
      <name val="Calibri"/>
      <family val="2"/>
      <scheme val="minor"/>
    </font>
    <font>
      <b/>
      <sz val="11"/>
      <color rgb="FF00B050"/>
      <name val="Calibri"/>
      <family val="2"/>
    </font>
    <font>
      <b/>
      <sz val="20"/>
      <color theme="1"/>
      <name val="Calibri"/>
      <family val="2"/>
      <scheme val="minor"/>
    </font>
    <font>
      <sz val="12"/>
      <color theme="1"/>
      <name val="Calibri"/>
      <family val="2"/>
    </font>
    <font>
      <sz val="11"/>
      <color rgb="FFFF0000"/>
      <name val="Calibri"/>
      <family val="2"/>
      <scheme val="minor"/>
    </font>
    <font>
      <b/>
      <sz val="11"/>
      <name val="Calibri"/>
      <family val="2"/>
      <scheme val="minor"/>
    </font>
    <font>
      <sz val="9"/>
      <color theme="1"/>
      <name val="Arial"/>
      <family val="2"/>
    </font>
    <font>
      <sz val="12"/>
      <name val="Calibri"/>
      <family val="2"/>
      <scheme val="minor"/>
    </font>
    <font>
      <sz val="11"/>
      <color rgb="FF000000"/>
      <name val="Calibri"/>
      <family val="2"/>
      <scheme val="minor"/>
    </font>
    <font>
      <b/>
      <sz val="11"/>
      <color rgb="FF000000"/>
      <name val="Calibri"/>
      <family val="2"/>
      <scheme val="minor"/>
    </font>
    <font>
      <b/>
      <i/>
      <sz val="11"/>
      <color rgb="FFFF0000"/>
      <name val="Calibri"/>
      <family val="2"/>
      <scheme val="minor"/>
    </font>
    <font>
      <b/>
      <i/>
      <sz val="12"/>
      <name val="Calibri"/>
      <family val="2"/>
    </font>
    <font>
      <b/>
      <i/>
      <u/>
      <sz val="11"/>
      <color theme="10"/>
      <name val="Calibri"/>
      <family val="2"/>
    </font>
    <font>
      <b/>
      <sz val="14"/>
      <color rgb="FFFF0000"/>
      <name val="Calibri"/>
      <family val="2"/>
      <scheme val="minor"/>
    </font>
    <font>
      <b/>
      <sz val="16"/>
      <color theme="1"/>
      <name val="Calibri"/>
      <family val="2"/>
      <scheme val="minor"/>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bottom/>
      <diagonal/>
    </border>
    <border>
      <left/>
      <right/>
      <top style="thin">
        <color indexed="64"/>
      </top>
      <bottom/>
      <diagonal/>
    </border>
    <border>
      <left style="thin">
        <color indexed="64"/>
      </left>
      <right style="thick">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diagonal/>
    </border>
  </borders>
  <cellStyleXfs count="2">
    <xf numFmtId="0" fontId="0" fillId="0" borderId="0"/>
    <xf numFmtId="0" fontId="21" fillId="0" borderId="0" applyNumberFormat="0" applyFill="0" applyBorder="0" applyAlignment="0" applyProtection="0">
      <alignment vertical="top"/>
      <protection locked="0"/>
    </xf>
  </cellStyleXfs>
  <cellXfs count="625">
    <xf numFmtId="0" fontId="0" fillId="0" borderId="0" xfId="0"/>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3" xfId="0" applyBorder="1"/>
    <xf numFmtId="0" fontId="0" fillId="0" borderId="3" xfId="0" applyBorder="1" applyAlignment="1">
      <alignment horizontal="center"/>
    </xf>
    <xf numFmtId="0" fontId="22" fillId="0" borderId="2" xfId="0" applyFont="1" applyBorder="1"/>
    <xf numFmtId="0" fontId="0" fillId="0" borderId="3" xfId="0" applyFill="1" applyBorder="1"/>
    <xf numFmtId="0" fontId="22" fillId="0" borderId="3" xfId="0" applyFont="1" applyBorder="1"/>
    <xf numFmtId="49" fontId="0" fillId="0" borderId="3" xfId="0" applyNumberFormat="1" applyFill="1" applyBorder="1" applyAlignment="1">
      <alignment horizontal="left" vertical="top" wrapText="1"/>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3" xfId="0" applyBorder="1" applyAlignment="1">
      <alignment vertical="top" wrapText="1"/>
    </xf>
    <xf numFmtId="0" fontId="0" fillId="0" borderId="4" xfId="0" applyBorder="1" applyAlignment="1">
      <alignment horizontal="center"/>
    </xf>
    <xf numFmtId="0" fontId="22" fillId="0" borderId="4" xfId="0" applyFont="1" applyBorder="1"/>
    <xf numFmtId="0" fontId="0" fillId="0" borderId="3" xfId="0" applyBorder="1" applyAlignment="1">
      <alignment horizontal="center" wrapText="1"/>
    </xf>
    <xf numFmtId="0" fontId="0" fillId="0" borderId="3" xfId="0" applyBorder="1" applyAlignment="1">
      <alignment horizontal="left" vertical="top" wrapText="1"/>
    </xf>
    <xf numFmtId="0" fontId="0" fillId="0" borderId="5" xfId="0" applyBorder="1" applyAlignment="1">
      <alignment horizontal="center"/>
    </xf>
    <xf numFmtId="0" fontId="0" fillId="0" borderId="6" xfId="0" applyBorder="1" applyAlignment="1">
      <alignment horizontal="center"/>
    </xf>
    <xf numFmtId="0" fontId="23" fillId="0" borderId="6" xfId="0" applyFont="1" applyBorder="1" applyAlignment="1">
      <alignment horizontal="center"/>
    </xf>
    <xf numFmtId="0" fontId="0" fillId="0" borderId="6" xfId="0" applyBorder="1" applyAlignment="1">
      <alignment horizontal="center" vertical="top"/>
    </xf>
    <xf numFmtId="0" fontId="0" fillId="0" borderId="4" xfId="0" applyBorder="1" applyAlignment="1">
      <alignment horizontal="center" vertical="top" wrapText="1"/>
    </xf>
    <xf numFmtId="0" fontId="0" fillId="0" borderId="3" xfId="0" applyFill="1" applyBorder="1" applyAlignment="1">
      <alignment horizontal="center" vertical="top" wrapText="1"/>
    </xf>
    <xf numFmtId="0" fontId="23" fillId="0" borderId="3" xfId="0" applyFont="1" applyBorder="1"/>
    <xf numFmtId="0" fontId="0" fillId="0" borderId="3" xfId="0" applyFill="1" applyBorder="1" applyAlignment="1">
      <alignment vertical="top" wrapText="1"/>
    </xf>
    <xf numFmtId="0" fontId="5" fillId="0" borderId="7" xfId="1" applyFont="1" applyBorder="1" applyAlignment="1" applyProtection="1">
      <alignment horizontal="center"/>
    </xf>
    <xf numFmtId="0" fontId="0" fillId="0" borderId="8" xfId="0" applyBorder="1" applyAlignment="1">
      <alignment horizontal="center" vertical="top" wrapText="1"/>
    </xf>
    <xf numFmtId="0" fontId="0" fillId="0" borderId="8" xfId="0" applyBorder="1" applyAlignment="1">
      <alignment horizontal="center"/>
    </xf>
    <xf numFmtId="49" fontId="0" fillId="0" borderId="3" xfId="0" applyNumberFormat="1" applyBorder="1" applyAlignment="1">
      <alignment horizontal="center" vertical="top" wrapText="1"/>
    </xf>
    <xf numFmtId="0" fontId="0" fillId="0" borderId="3" xfId="0" applyFill="1" applyBorder="1" applyAlignment="1">
      <alignment horizontal="center"/>
    </xf>
    <xf numFmtId="49" fontId="0" fillId="0" borderId="4" xfId="0" applyNumberFormat="1" applyBorder="1" applyAlignment="1">
      <alignment horizontal="center" vertical="top" wrapText="1"/>
    </xf>
    <xf numFmtId="49" fontId="0" fillId="0" borderId="3" xfId="0" applyNumberFormat="1" applyBorder="1" applyAlignment="1">
      <alignment horizontal="left" vertical="top" wrapText="1"/>
    </xf>
    <xf numFmtId="0" fontId="0" fillId="0" borderId="3" xfId="0" applyBorder="1" applyAlignment="1">
      <alignment horizontal="left" vertical="top"/>
    </xf>
    <xf numFmtId="49" fontId="0" fillId="0" borderId="3" xfId="0" applyNumberFormat="1" applyBorder="1" applyAlignment="1">
      <alignment horizontal="left" vertical="top"/>
    </xf>
    <xf numFmtId="49" fontId="0" fillId="0" borderId="3" xfId="0" applyNumberFormat="1" applyBorder="1" applyAlignment="1">
      <alignment horizontal="center" vertical="top"/>
    </xf>
    <xf numFmtId="0" fontId="23" fillId="0" borderId="3" xfId="0" applyFont="1" applyFill="1" applyBorder="1" applyAlignment="1">
      <alignment horizontal="center" vertical="top" wrapText="1"/>
    </xf>
    <xf numFmtId="0" fontId="0" fillId="0" borderId="3" xfId="0" applyFill="1" applyBorder="1" applyAlignment="1">
      <alignment horizontal="center" vertical="top"/>
    </xf>
    <xf numFmtId="0" fontId="0" fillId="0" borderId="6" xfId="0" applyFill="1" applyBorder="1" applyAlignment="1">
      <alignment horizontal="center"/>
    </xf>
    <xf numFmtId="49" fontId="0" fillId="0" borderId="6" xfId="0" applyNumberFormat="1" applyBorder="1" applyAlignment="1">
      <alignment horizontal="center" vertical="top" wrapText="1"/>
    </xf>
    <xf numFmtId="0" fontId="0" fillId="0" borderId="9" xfId="0" applyBorder="1"/>
    <xf numFmtId="0" fontId="0" fillId="0" borderId="9" xfId="0" applyBorder="1" applyAlignment="1">
      <alignment horizontal="center"/>
    </xf>
    <xf numFmtId="0" fontId="24" fillId="0" borderId="1" xfId="0" applyFont="1" applyBorder="1"/>
    <xf numFmtId="0" fontId="24" fillId="0" borderId="1" xfId="0" applyFont="1" applyBorder="1" applyAlignment="1">
      <alignment horizontal="center"/>
    </xf>
    <xf numFmtId="0" fontId="24" fillId="0" borderId="10" xfId="0" applyFont="1" applyBorder="1" applyAlignment="1">
      <alignment horizontal="center"/>
    </xf>
    <xf numFmtId="0" fontId="24" fillId="0" borderId="1" xfId="0" applyFont="1" applyBorder="1" applyAlignment="1">
      <alignment horizontal="center" vertical="top" wrapText="1"/>
    </xf>
    <xf numFmtId="0" fontId="0" fillId="0" borderId="3" xfId="0" applyFill="1" applyBorder="1" applyAlignment="1">
      <alignment horizontal="left" vertical="top" wrapText="1"/>
    </xf>
    <xf numFmtId="0" fontId="0" fillId="0" borderId="4" xfId="0" applyFill="1" applyBorder="1" applyAlignment="1">
      <alignment horizontal="center"/>
    </xf>
    <xf numFmtId="49" fontId="0" fillId="0" borderId="4" xfId="0" applyNumberFormat="1" applyBorder="1" applyAlignment="1">
      <alignment horizontal="left" vertical="top"/>
    </xf>
    <xf numFmtId="49" fontId="0" fillId="0" borderId="4" xfId="0" applyNumberFormat="1" applyBorder="1" applyAlignment="1">
      <alignment horizontal="center" vertical="top"/>
    </xf>
    <xf numFmtId="49" fontId="0" fillId="0" borderId="11" xfId="0" applyNumberFormat="1" applyBorder="1" applyAlignment="1">
      <alignment horizontal="left" vertical="top"/>
    </xf>
    <xf numFmtId="49" fontId="0" fillId="0" borderId="11" xfId="0" applyNumberFormat="1" applyBorder="1" applyAlignment="1">
      <alignment horizontal="center" vertical="top"/>
    </xf>
    <xf numFmtId="49" fontId="22" fillId="0" borderId="4" xfId="0" applyNumberFormat="1" applyFont="1" applyBorder="1" applyAlignment="1">
      <alignment horizontal="left" vertical="top" wrapText="1"/>
    </xf>
    <xf numFmtId="49" fontId="0" fillId="0" borderId="1" xfId="0" applyNumberFormat="1" applyBorder="1" applyAlignment="1">
      <alignment horizontal="left" vertical="top" wrapText="1"/>
    </xf>
    <xf numFmtId="49" fontId="0" fillId="0" borderId="1" xfId="0" applyNumberFormat="1" applyBorder="1" applyAlignment="1">
      <alignment horizontal="center" vertical="top" wrapText="1"/>
    </xf>
    <xf numFmtId="49" fontId="0" fillId="0" borderId="1" xfId="0" applyNumberFormat="1" applyBorder="1" applyAlignment="1">
      <alignment horizontal="center" vertical="top"/>
    </xf>
    <xf numFmtId="0" fontId="0" fillId="0" borderId="12" xfId="0" applyBorder="1" applyAlignment="1">
      <alignment horizontal="center"/>
    </xf>
    <xf numFmtId="0" fontId="0" fillId="0" borderId="1" xfId="0" applyBorder="1" applyAlignment="1">
      <alignment horizontal="center" vertical="top" wrapText="1"/>
    </xf>
    <xf numFmtId="0" fontId="0" fillId="0" borderId="13" xfId="0" applyBorder="1" applyAlignment="1">
      <alignment horizontal="center"/>
    </xf>
    <xf numFmtId="0" fontId="0" fillId="0" borderId="9" xfId="0" applyBorder="1" applyAlignment="1">
      <alignment horizontal="center" vertical="top" wrapText="1"/>
    </xf>
    <xf numFmtId="49" fontId="0" fillId="0" borderId="9" xfId="0" applyNumberFormat="1" applyBorder="1" applyAlignment="1">
      <alignment horizontal="left" vertical="top" wrapText="1"/>
    </xf>
    <xf numFmtId="49" fontId="0" fillId="0" borderId="9" xfId="0" applyNumberFormat="1" applyBorder="1" applyAlignment="1">
      <alignment horizontal="center" vertical="top" wrapText="1"/>
    </xf>
    <xf numFmtId="49" fontId="0" fillId="0" borderId="9" xfId="0" applyNumberFormat="1" applyBorder="1" applyAlignment="1">
      <alignment horizontal="center" vertical="top"/>
    </xf>
    <xf numFmtId="49" fontId="0" fillId="0" borderId="9" xfId="0" applyNumberFormat="1" applyBorder="1" applyAlignment="1">
      <alignment horizontal="left" vertical="top"/>
    </xf>
    <xf numFmtId="49" fontId="0" fillId="0" borderId="4" xfId="0" applyNumberFormat="1" applyBorder="1" applyAlignment="1">
      <alignment horizontal="left" vertical="top" wrapText="1"/>
    </xf>
    <xf numFmtId="0" fontId="0" fillId="0" borderId="3" xfId="0" applyBorder="1" applyAlignment="1">
      <alignment vertical="top"/>
    </xf>
    <xf numFmtId="0" fontId="0" fillId="0" borderId="0" xfId="0" applyProtection="1">
      <protection locked="0"/>
    </xf>
    <xf numFmtId="0" fontId="26" fillId="0" borderId="3" xfId="0" applyFont="1" applyFill="1" applyBorder="1" applyAlignment="1">
      <alignment horizontal="center"/>
    </xf>
    <xf numFmtId="0" fontId="26" fillId="0" borderId="3" xfId="0" applyFont="1" applyFill="1" applyBorder="1" applyAlignment="1">
      <alignment horizontal="center" vertical="top" wrapText="1"/>
    </xf>
    <xf numFmtId="0" fontId="26" fillId="0" borderId="3" xfId="0" applyFont="1" applyBorder="1" applyAlignment="1">
      <alignment horizontal="center"/>
    </xf>
    <xf numFmtId="0" fontId="26" fillId="0" borderId="3" xfId="0" applyFont="1" applyFill="1" applyBorder="1" applyAlignment="1">
      <alignment horizontal="center" vertical="top"/>
    </xf>
    <xf numFmtId="0" fontId="26" fillId="0" borderId="3" xfId="0" applyFont="1" applyBorder="1" applyAlignment="1">
      <alignment horizontal="center" vertical="top" wrapText="1"/>
    </xf>
    <xf numFmtId="49" fontId="0" fillId="0" borderId="14" xfId="0" applyNumberFormat="1" applyBorder="1" applyAlignment="1">
      <alignment horizontal="left" vertical="top" wrapText="1"/>
    </xf>
    <xf numFmtId="49" fontId="0" fillId="0" borderId="15" xfId="0" applyNumberFormat="1" applyBorder="1" applyAlignment="1">
      <alignment horizontal="left" vertical="top" wrapText="1"/>
    </xf>
    <xf numFmtId="0" fontId="0" fillId="0" borderId="6" xfId="0" applyBorder="1" applyAlignment="1">
      <alignment horizontal="center" vertical="top" wrapText="1"/>
    </xf>
    <xf numFmtId="0" fontId="26" fillId="0" borderId="6" xfId="0" applyFont="1" applyBorder="1" applyAlignment="1">
      <alignment horizontal="center"/>
    </xf>
    <xf numFmtId="0" fontId="26" fillId="0" borderId="6" xfId="0" applyFont="1" applyBorder="1" applyAlignment="1">
      <alignment horizontal="center" vertical="top" wrapText="1"/>
    </xf>
    <xf numFmtId="0" fontId="0" fillId="0" borderId="0" xfId="0" applyAlignment="1">
      <alignment horizontal="left" vertical="top"/>
    </xf>
    <xf numFmtId="0" fontId="0" fillId="0" borderId="6" xfId="0" applyFill="1" applyBorder="1" applyAlignment="1">
      <alignment horizontal="center" vertical="top" wrapText="1"/>
    </xf>
    <xf numFmtId="0" fontId="27" fillId="0" borderId="7" xfId="1" applyFont="1" applyBorder="1" applyAlignment="1" applyProtection="1">
      <alignment horizontal="center"/>
    </xf>
    <xf numFmtId="0" fontId="23" fillId="0" borderId="3" xfId="0" applyFont="1" applyBorder="1" applyAlignment="1">
      <alignment horizontal="left" vertical="top"/>
    </xf>
    <xf numFmtId="0" fontId="26" fillId="0" borderId="8" xfId="0" applyFont="1" applyBorder="1" applyAlignment="1">
      <alignment horizontal="center" vertical="top" wrapText="1"/>
    </xf>
    <xf numFmtId="0" fontId="24" fillId="0" borderId="16" xfId="0" applyFont="1" applyBorder="1" applyAlignment="1">
      <alignment horizontal="center"/>
    </xf>
    <xf numFmtId="0" fontId="5" fillId="0" borderId="7" xfId="1" applyFont="1" applyFill="1" applyBorder="1" applyAlignment="1" applyProtection="1">
      <alignment horizontal="center" vertical="top" wrapText="1"/>
    </xf>
    <xf numFmtId="49" fontId="24" fillId="0" borderId="17" xfId="0" applyNumberFormat="1" applyFont="1" applyBorder="1" applyAlignment="1">
      <alignment horizontal="center" vertical="top" wrapText="1"/>
    </xf>
    <xf numFmtId="0" fontId="0" fillId="0" borderId="3" xfId="0" applyNumberFormat="1" applyBorder="1" applyAlignment="1">
      <alignment horizontal="center" vertical="top" wrapText="1"/>
    </xf>
    <xf numFmtId="0" fontId="22" fillId="0" borderId="3" xfId="0" applyFont="1" applyBorder="1" applyAlignment="1">
      <alignment horizontal="left" vertical="top" wrapText="1"/>
    </xf>
    <xf numFmtId="0" fontId="22" fillId="0" borderId="3" xfId="0" applyNumberFormat="1" applyFont="1" applyBorder="1" applyAlignment="1">
      <alignment horizontal="left" vertical="top" wrapText="1"/>
    </xf>
    <xf numFmtId="0" fontId="0" fillId="0" borderId="3" xfId="0" applyNumberFormat="1" applyBorder="1" applyAlignment="1">
      <alignment horizontal="left" vertical="top" wrapText="1"/>
    </xf>
    <xf numFmtId="0" fontId="0" fillId="0" borderId="4" xfId="0" applyBorder="1" applyAlignment="1">
      <alignment horizontal="center" vertical="top"/>
    </xf>
    <xf numFmtId="0" fontId="0" fillId="0" borderId="4" xfId="0" applyBorder="1" applyAlignment="1">
      <alignment horizontal="left" vertical="top" wrapText="1"/>
    </xf>
    <xf numFmtId="0" fontId="0" fillId="0" borderId="4" xfId="0" applyBorder="1" applyAlignment="1">
      <alignment vertical="top" wrapText="1"/>
    </xf>
    <xf numFmtId="0" fontId="0" fillId="0" borderId="15" xfId="0" applyNumberFormat="1" applyBorder="1" applyAlignment="1">
      <alignment horizontal="left" vertical="top" wrapText="1"/>
    </xf>
    <xf numFmtId="0" fontId="23" fillId="0" borderId="4" xfId="0" applyFont="1" applyBorder="1" applyAlignment="1">
      <alignment vertical="top" wrapText="1"/>
    </xf>
    <xf numFmtId="0" fontId="0" fillId="0" borderId="18" xfId="0" applyBorder="1" applyAlignment="1">
      <alignment horizontal="center"/>
    </xf>
    <xf numFmtId="49" fontId="0" fillId="0" borderId="2" xfId="0" applyNumberFormat="1" applyBorder="1" applyAlignment="1">
      <alignment horizontal="center" vertical="top" wrapText="1"/>
    </xf>
    <xf numFmtId="0" fontId="10" fillId="0" borderId="3" xfId="0" applyFont="1" applyFill="1" applyBorder="1" applyAlignment="1">
      <alignment horizontal="center" vertical="top" wrapText="1"/>
    </xf>
    <xf numFmtId="0" fontId="0" fillId="0" borderId="0" xfId="0" applyBorder="1" applyAlignment="1">
      <alignment vertical="top" wrapText="1"/>
    </xf>
    <xf numFmtId="49" fontId="23" fillId="0" borderId="0" xfId="0" applyNumberFormat="1" applyFont="1" applyBorder="1" applyAlignment="1">
      <alignment horizontal="left" vertical="top" wrapText="1"/>
    </xf>
    <xf numFmtId="0" fontId="23" fillId="0" borderId="0" xfId="0" applyFont="1" applyBorder="1" applyAlignment="1">
      <alignment vertical="top" wrapText="1"/>
    </xf>
    <xf numFmtId="0" fontId="0" fillId="0" borderId="19" xfId="0" applyBorder="1" applyAlignment="1">
      <alignment horizontal="center"/>
    </xf>
    <xf numFmtId="0" fontId="0" fillId="0" borderId="0" xfId="0" applyBorder="1" applyAlignment="1">
      <alignment horizontal="center"/>
    </xf>
    <xf numFmtId="0" fontId="0" fillId="0" borderId="19" xfId="0" applyBorder="1" applyAlignment="1">
      <alignment vertical="top" wrapText="1"/>
    </xf>
    <xf numFmtId="0" fontId="17" fillId="0" borderId="3" xfId="0" applyNumberFormat="1" applyFont="1" applyBorder="1" applyAlignment="1">
      <alignment horizontal="left" vertical="top" wrapText="1"/>
    </xf>
    <xf numFmtId="49" fontId="22" fillId="0" borderId="14" xfId="0" applyNumberFormat="1" applyFont="1" applyBorder="1" applyAlignment="1">
      <alignment horizontal="left" vertical="top" wrapText="1"/>
    </xf>
    <xf numFmtId="0" fontId="23" fillId="0" borderId="3" xfId="0" applyFont="1" applyFill="1" applyBorder="1" applyAlignment="1">
      <alignment horizontal="center"/>
    </xf>
    <xf numFmtId="0" fontId="0" fillId="0" borderId="3" xfId="0" applyNumberFormat="1" applyFill="1" applyBorder="1" applyAlignment="1">
      <alignment horizontal="left" vertical="top" wrapText="1"/>
    </xf>
    <xf numFmtId="0" fontId="22" fillId="0" borderId="4" xfId="0" applyFont="1" applyBorder="1" applyAlignment="1">
      <alignment vertical="top" wrapText="1"/>
    </xf>
    <xf numFmtId="0" fontId="23" fillId="0" borderId="13" xfId="0" applyFont="1" applyBorder="1" applyAlignment="1">
      <alignment horizontal="center"/>
    </xf>
    <xf numFmtId="0" fontId="4" fillId="0" borderId="12" xfId="0" applyFont="1" applyFill="1" applyBorder="1" applyAlignment="1">
      <alignment horizontal="center" vertical="top" wrapText="1"/>
    </xf>
    <xf numFmtId="0" fontId="0" fillId="0" borderId="0" xfId="0" applyFill="1" applyBorder="1"/>
    <xf numFmtId="0" fontId="0" fillId="0" borderId="0" xfId="0" applyFill="1" applyBorder="1" applyAlignment="1">
      <alignment horizontal="center"/>
    </xf>
    <xf numFmtId="0" fontId="0" fillId="0" borderId="0" xfId="0" applyBorder="1" applyAlignment="1">
      <alignment horizontal="center" vertical="top" wrapText="1"/>
    </xf>
    <xf numFmtId="49" fontId="11" fillId="0" borderId="0" xfId="0" applyNumberFormat="1" applyFont="1" applyFill="1" applyBorder="1" applyAlignment="1">
      <alignment horizontal="lef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2" fillId="0" borderId="0" xfId="0" applyFont="1" applyFill="1" applyBorder="1" applyAlignment="1">
      <alignment wrapText="1"/>
    </xf>
    <xf numFmtId="0" fontId="4" fillId="0" borderId="0" xfId="0" applyFont="1" applyFill="1" applyBorder="1" applyAlignment="1">
      <alignment horizontal="center" vertical="top" wrapText="1"/>
    </xf>
    <xf numFmtId="0" fontId="11" fillId="0" borderId="0" xfId="0" applyFont="1" applyFill="1" applyBorder="1"/>
    <xf numFmtId="0" fontId="0" fillId="0" borderId="0" xfId="0" applyFill="1" applyBorder="1" applyAlignment="1">
      <alignment horizontal="left" vertical="top" wrapText="1"/>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horizontal="center" vertical="top" wrapText="1"/>
    </xf>
    <xf numFmtId="0" fontId="22" fillId="0" borderId="0" xfId="0" applyFont="1" applyBorder="1"/>
    <xf numFmtId="49" fontId="0" fillId="0" borderId="0" xfId="0" applyNumberFormat="1" applyFill="1" applyBorder="1" applyAlignment="1">
      <alignment horizontal="left" vertical="top" wrapText="1"/>
    </xf>
    <xf numFmtId="0" fontId="0" fillId="0" borderId="0" xfId="0" applyBorder="1" applyAlignment="1">
      <alignment horizontal="center" vertical="top"/>
    </xf>
    <xf numFmtId="0" fontId="0" fillId="0" borderId="0" xfId="0" applyFill="1" applyBorder="1" applyAlignment="1">
      <alignment horizontal="left" vertical="top"/>
    </xf>
    <xf numFmtId="0" fontId="26" fillId="0" borderId="0" xfId="0" applyFont="1" applyFill="1" applyBorder="1" applyAlignment="1">
      <alignment horizontal="center" vertical="top"/>
    </xf>
    <xf numFmtId="0" fontId="0" fillId="0" borderId="0" xfId="0" applyBorder="1"/>
    <xf numFmtId="0" fontId="26" fillId="0" borderId="0" xfId="0" applyFont="1" applyFill="1" applyBorder="1" applyAlignment="1">
      <alignment horizontal="center"/>
    </xf>
    <xf numFmtId="49" fontId="0" fillId="0" borderId="0" xfId="0" applyNumberFormat="1" applyBorder="1" applyAlignment="1">
      <alignment horizontal="left" vertical="top" wrapText="1"/>
    </xf>
    <xf numFmtId="49" fontId="0" fillId="0" borderId="0" xfId="0" applyNumberFormat="1" applyBorder="1" applyAlignment="1">
      <alignment horizontal="center" vertical="top" wrapText="1"/>
    </xf>
    <xf numFmtId="0" fontId="0" fillId="0" borderId="0" xfId="0" applyBorder="1" applyAlignment="1">
      <alignment horizontal="left" vertical="top" wrapText="1"/>
    </xf>
    <xf numFmtId="0" fontId="23" fillId="0" borderId="0" xfId="0" applyFont="1" applyFill="1" applyBorder="1" applyAlignment="1">
      <alignment horizontal="center" vertical="top" wrapText="1"/>
    </xf>
    <xf numFmtId="0" fontId="26" fillId="0" borderId="0" xfId="0" applyFont="1" applyBorder="1" applyAlignment="1">
      <alignment horizontal="center"/>
    </xf>
    <xf numFmtId="0" fontId="0" fillId="0" borderId="0" xfId="0" applyFill="1" applyBorder="1" applyAlignment="1">
      <alignment wrapText="1"/>
    </xf>
    <xf numFmtId="0" fontId="0" fillId="0" borderId="0" xfId="0" applyFill="1" applyBorder="1" applyAlignment="1">
      <alignment vertical="top" wrapText="1"/>
    </xf>
    <xf numFmtId="0" fontId="26" fillId="0" borderId="0" xfId="0" applyFont="1" applyBorder="1" applyAlignment="1">
      <alignment horizontal="center" vertical="top" wrapText="1"/>
    </xf>
    <xf numFmtId="49" fontId="0" fillId="0" borderId="0" xfId="0" applyNumberFormat="1" applyFill="1" applyBorder="1" applyAlignment="1">
      <alignment horizontal="left" vertical="top"/>
    </xf>
    <xf numFmtId="49" fontId="0" fillId="0" borderId="0" xfId="0" applyNumberFormat="1" applyBorder="1" applyAlignment="1">
      <alignment horizontal="center" vertical="top"/>
    </xf>
    <xf numFmtId="49" fontId="23" fillId="0" borderId="0" xfId="0" applyNumberFormat="1" applyFont="1" applyFill="1" applyBorder="1" applyAlignment="1">
      <alignment horizontal="left" vertical="top" wrapText="1"/>
    </xf>
    <xf numFmtId="0" fontId="23" fillId="0" borderId="0" xfId="0" applyFont="1" applyFill="1" applyBorder="1" applyAlignment="1">
      <alignment horizontal="left" vertical="top" wrapText="1"/>
    </xf>
    <xf numFmtId="0" fontId="22" fillId="0" borderId="4" xfId="0" applyFont="1" applyBorder="1" applyAlignment="1">
      <alignment horizontal="left" vertical="top" wrapText="1"/>
    </xf>
    <xf numFmtId="0" fontId="6" fillId="0" borderId="0" xfId="0" applyFont="1" applyBorder="1"/>
    <xf numFmtId="0" fontId="4" fillId="0" borderId="0" xfId="0" applyFont="1" applyFill="1" applyBorder="1" applyAlignment="1">
      <alignment horizontal="center" vertical="top"/>
    </xf>
    <xf numFmtId="0" fontId="26" fillId="0" borderId="0" xfId="0" applyFont="1" applyBorder="1" applyAlignment="1">
      <alignment horizontal="center" vertical="top"/>
    </xf>
    <xf numFmtId="0" fontId="0" fillId="0" borderId="11" xfId="0" applyBorder="1"/>
    <xf numFmtId="0" fontId="0" fillId="0" borderId="11" xfId="0" applyBorder="1" applyAlignment="1">
      <alignment horizontal="center"/>
    </xf>
    <xf numFmtId="0" fontId="28" fillId="0" borderId="9" xfId="0" applyFont="1" applyBorder="1" applyAlignment="1">
      <alignment horizontal="center" wrapText="1"/>
    </xf>
    <xf numFmtId="0" fontId="29" fillId="0" borderId="18" xfId="0" applyNumberFormat="1" applyFont="1" applyBorder="1" applyAlignment="1">
      <alignment horizontal="left" vertical="top" wrapText="1"/>
    </xf>
    <xf numFmtId="0" fontId="28" fillId="0" borderId="20" xfId="0" applyFont="1" applyBorder="1" applyAlignment="1">
      <alignment horizontal="center" wrapText="1"/>
    </xf>
    <xf numFmtId="0" fontId="24" fillId="0" borderId="11" xfId="0" applyFont="1" applyBorder="1" applyAlignment="1">
      <alignment horizontal="center" vertical="top" wrapText="1"/>
    </xf>
    <xf numFmtId="0" fontId="0" fillId="0" borderId="3" xfId="0" applyFill="1" applyBorder="1" applyAlignment="1">
      <alignment vertical="top"/>
    </xf>
    <xf numFmtId="0" fontId="0" fillId="0" borderId="6" xfId="0" applyFill="1" applyBorder="1" applyAlignment="1">
      <alignment horizontal="center" vertical="top"/>
    </xf>
    <xf numFmtId="0" fontId="0" fillId="0" borderId="6" xfId="0" applyNumberFormat="1" applyBorder="1" applyAlignment="1">
      <alignment horizontal="center" vertical="top" wrapText="1"/>
    </xf>
    <xf numFmtId="0" fontId="0" fillId="0" borderId="3" xfId="0" applyNumberFormat="1" applyBorder="1" applyAlignment="1">
      <alignment horizontal="center" vertical="top"/>
    </xf>
    <xf numFmtId="0" fontId="0" fillId="0" borderId="9" xfId="0" applyBorder="1" applyAlignment="1">
      <alignment vertical="top" wrapText="1"/>
    </xf>
    <xf numFmtId="0" fontId="0" fillId="0" borderId="3" xfId="0" applyBorder="1" applyAlignment="1">
      <alignment horizontal="left"/>
    </xf>
    <xf numFmtId="0" fontId="23" fillId="0" borderId="3" xfId="0" applyFont="1" applyFill="1" applyBorder="1" applyAlignment="1">
      <alignment horizontal="center" vertical="top"/>
    </xf>
    <xf numFmtId="0" fontId="22" fillId="0" borderId="3" xfId="0" applyNumberFormat="1" applyFont="1" applyBorder="1" applyAlignment="1">
      <alignment horizontal="center" vertical="top" wrapText="1"/>
    </xf>
    <xf numFmtId="0" fontId="23" fillId="0" borderId="3" xfId="0" applyFont="1" applyBorder="1" applyAlignment="1">
      <alignment vertical="top" wrapText="1"/>
    </xf>
    <xf numFmtId="9" fontId="0" fillId="0" borderId="8" xfId="0" applyNumberFormat="1" applyBorder="1" applyAlignment="1">
      <alignment horizontal="center" vertical="top" wrapText="1"/>
    </xf>
    <xf numFmtId="0" fontId="0" fillId="0" borderId="18" xfId="0" applyFill="1" applyBorder="1" applyAlignment="1">
      <alignment vertical="top" wrapText="1"/>
    </xf>
    <xf numFmtId="0" fontId="0" fillId="0" borderId="0" xfId="0" applyAlignment="1">
      <alignment horizontal="center" vertical="top" wrapText="1"/>
    </xf>
    <xf numFmtId="0" fontId="23" fillId="0" borderId="3" xfId="0" applyFont="1" applyBorder="1" applyAlignment="1">
      <alignment horizontal="center"/>
    </xf>
    <xf numFmtId="49" fontId="23" fillId="0" borderId="3" xfId="0" applyNumberFormat="1" applyFont="1" applyBorder="1" applyAlignment="1">
      <alignment horizontal="center" vertical="top" wrapText="1"/>
    </xf>
    <xf numFmtId="0" fontId="24" fillId="0" borderId="18" xfId="0" applyFont="1" applyBorder="1" applyAlignment="1">
      <alignment horizontal="center"/>
    </xf>
    <xf numFmtId="0" fontId="24" fillId="0" borderId="18" xfId="0" applyFont="1" applyBorder="1" applyAlignment="1">
      <alignment wrapText="1"/>
    </xf>
    <xf numFmtId="0" fontId="23" fillId="0" borderId="3" xfId="0" applyFont="1" applyBorder="1" applyAlignment="1">
      <alignment horizontal="left" vertical="top" wrapText="1"/>
    </xf>
    <xf numFmtId="0" fontId="0" fillId="0" borderId="3" xfId="0" applyBorder="1" applyAlignment="1">
      <alignment wrapText="1"/>
    </xf>
    <xf numFmtId="0" fontId="23" fillId="0" borderId="3" xfId="0" applyFont="1" applyBorder="1" applyAlignment="1">
      <alignment horizontal="center" vertical="top" wrapText="1"/>
    </xf>
    <xf numFmtId="0" fontId="0" fillId="0" borderId="9" xfId="0" applyBorder="1" applyAlignment="1">
      <alignment horizontal="left" vertical="top" wrapText="1"/>
    </xf>
    <xf numFmtId="0" fontId="0" fillId="0" borderId="9" xfId="0" applyNumberFormat="1" applyBorder="1" applyAlignment="1">
      <alignment horizontal="center" vertical="top" wrapText="1"/>
    </xf>
    <xf numFmtId="0" fontId="0" fillId="0" borderId="18" xfId="0" applyBorder="1" applyAlignment="1">
      <alignment horizontal="center" vertical="top" wrapText="1"/>
    </xf>
    <xf numFmtId="49" fontId="0" fillId="0" borderId="18" xfId="0" applyNumberFormat="1" applyBorder="1" applyAlignment="1">
      <alignment horizontal="left" vertical="top"/>
    </xf>
    <xf numFmtId="49" fontId="0" fillId="0" borderId="18" xfId="0" applyNumberFormat="1" applyBorder="1" applyAlignment="1">
      <alignment horizontal="center" vertical="top"/>
    </xf>
    <xf numFmtId="49" fontId="0" fillId="0" borderId="11" xfId="0" applyNumberFormat="1" applyBorder="1" applyAlignment="1">
      <alignment horizontal="center" vertical="top" wrapText="1"/>
    </xf>
    <xf numFmtId="0" fontId="0" fillId="0" borderId="7" xfId="0" applyBorder="1" applyAlignment="1">
      <alignment horizontal="center" vertical="top" wrapText="1"/>
    </xf>
    <xf numFmtId="0" fontId="21" fillId="0" borderId="7" xfId="1" applyBorder="1" applyAlignment="1" applyProtection="1">
      <alignment horizontal="center" vertical="top" wrapText="1"/>
    </xf>
    <xf numFmtId="0" fontId="22" fillId="0" borderId="3" xfId="0" applyFont="1" applyBorder="1" applyAlignment="1">
      <alignment horizontal="center" vertical="top" wrapText="1"/>
    </xf>
    <xf numFmtId="0" fontId="0" fillId="0" borderId="4" xfId="0" applyNumberFormat="1" applyBorder="1" applyAlignment="1">
      <alignment horizontal="left" vertical="top" wrapText="1"/>
    </xf>
    <xf numFmtId="0" fontId="22" fillId="0" borderId="2" xfId="0" applyFont="1" applyBorder="1" applyAlignment="1">
      <alignment vertical="top"/>
    </xf>
    <xf numFmtId="0" fontId="23" fillId="0" borderId="3" xfId="0" applyFont="1" applyBorder="1" applyAlignment="1">
      <alignment vertical="top"/>
    </xf>
    <xf numFmtId="0" fontId="26" fillId="0" borderId="3" xfId="0" applyFont="1" applyBorder="1" applyAlignment="1">
      <alignment horizontal="center" vertical="top"/>
    </xf>
    <xf numFmtId="0" fontId="23" fillId="0" borderId="3" xfId="0" applyFont="1" applyBorder="1" applyAlignment="1">
      <alignment horizontal="center" vertical="top"/>
    </xf>
    <xf numFmtId="0" fontId="24" fillId="0" borderId="3" xfId="0" applyFont="1" applyBorder="1" applyAlignment="1">
      <alignment horizontal="center" vertical="top"/>
    </xf>
    <xf numFmtId="0" fontId="6" fillId="0" borderId="2" xfId="0" applyFont="1" applyBorder="1" applyAlignment="1">
      <alignment vertical="top"/>
    </xf>
    <xf numFmtId="49" fontId="22" fillId="0" borderId="9" xfId="0" applyNumberFormat="1" applyFont="1" applyBorder="1" applyAlignment="1">
      <alignment horizontal="left" vertical="top" wrapText="1"/>
    </xf>
    <xf numFmtId="0" fontId="21" fillId="0" borderId="3" xfId="1" applyFill="1" applyBorder="1" applyAlignment="1" applyProtection="1">
      <alignment horizontal="center" vertical="top" wrapText="1"/>
    </xf>
    <xf numFmtId="0" fontId="4" fillId="0" borderId="12" xfId="1" applyFont="1" applyBorder="1" applyAlignment="1" applyProtection="1">
      <alignment horizontal="center" vertical="top" wrapText="1"/>
    </xf>
    <xf numFmtId="0" fontId="0" fillId="0" borderId="4" xfId="0" applyBorder="1"/>
    <xf numFmtId="0" fontId="22" fillId="0" borderId="18" xfId="0" applyFont="1" applyBorder="1" applyAlignment="1">
      <alignment vertical="top"/>
    </xf>
    <xf numFmtId="0" fontId="32" fillId="0" borderId="3" xfId="0" applyFont="1" applyBorder="1" applyAlignment="1">
      <alignment horizontal="center" vertical="top"/>
    </xf>
    <xf numFmtId="0" fontId="22" fillId="0" borderId="3" xfId="0" applyFont="1" applyBorder="1" applyAlignment="1">
      <alignment vertical="top"/>
    </xf>
    <xf numFmtId="0" fontId="22" fillId="0" borderId="3" xfId="0" applyFont="1" applyBorder="1" applyAlignment="1">
      <alignment vertical="top" wrapText="1"/>
    </xf>
    <xf numFmtId="0" fontId="0" fillId="0" borderId="24" xfId="0" applyBorder="1" applyAlignment="1">
      <alignment horizontal="center" vertical="top" wrapText="1"/>
    </xf>
    <xf numFmtId="0" fontId="0" fillId="0" borderId="24" xfId="0" applyBorder="1" applyAlignment="1">
      <alignment horizontal="center"/>
    </xf>
    <xf numFmtId="0" fontId="0" fillId="0" borderId="3" xfId="0" applyFill="1" applyBorder="1" applyAlignment="1">
      <alignment horizontal="center" wrapText="1"/>
    </xf>
    <xf numFmtId="0" fontId="0" fillId="0" borderId="9" xfId="0" applyBorder="1" applyAlignment="1">
      <alignment horizontal="center" vertical="top"/>
    </xf>
    <xf numFmtId="2" fontId="0" fillId="0" borderId="3" xfId="0" applyNumberFormat="1" applyBorder="1" applyAlignment="1">
      <alignment horizontal="center" vertical="top" wrapText="1"/>
    </xf>
    <xf numFmtId="1" fontId="0" fillId="0" borderId="4" xfId="0" applyNumberFormat="1" applyBorder="1" applyAlignment="1">
      <alignment horizontal="center" vertical="top" wrapText="1"/>
    </xf>
    <xf numFmtId="1" fontId="0" fillId="0" borderId="3" xfId="0" applyNumberFormat="1" applyBorder="1" applyAlignment="1">
      <alignment horizontal="center" vertical="top" wrapText="1"/>
    </xf>
    <xf numFmtId="0" fontId="26" fillId="0" borderId="6" xfId="0" applyFont="1"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xf>
    <xf numFmtId="49" fontId="0" fillId="0" borderId="17" xfId="0" applyNumberFormat="1" applyBorder="1" applyAlignment="1">
      <alignment horizontal="left" vertical="top" wrapText="1"/>
    </xf>
    <xf numFmtId="0" fontId="0" fillId="0" borderId="1" xfId="0" applyBorder="1" applyAlignment="1">
      <alignment horizontal="left" vertical="top" wrapText="1"/>
    </xf>
    <xf numFmtId="0" fontId="26" fillId="0" borderId="13" xfId="0" applyFont="1" applyBorder="1" applyAlignment="1">
      <alignment horizontal="center"/>
    </xf>
    <xf numFmtId="0" fontId="0" fillId="0" borderId="13" xfId="0" applyBorder="1" applyAlignment="1">
      <alignment horizontal="center" vertical="top"/>
    </xf>
    <xf numFmtId="0" fontId="26" fillId="0" borderId="13" xfId="0" applyFont="1" applyBorder="1" applyAlignment="1">
      <alignment horizontal="center" vertical="top"/>
    </xf>
    <xf numFmtId="0" fontId="26" fillId="0" borderId="13" xfId="0" applyFont="1" applyBorder="1" applyAlignment="1">
      <alignment horizontal="center" vertical="top" wrapText="1"/>
    </xf>
    <xf numFmtId="49" fontId="22" fillId="0" borderId="3" xfId="0" applyNumberFormat="1" applyFont="1" applyBorder="1" applyAlignment="1">
      <alignment horizontal="center" vertical="top" wrapText="1"/>
    </xf>
    <xf numFmtId="0" fontId="22" fillId="0" borderId="3" xfId="0" applyFont="1" applyBorder="1" applyAlignment="1" applyProtection="1">
      <alignment horizontal="center" vertical="top" wrapText="1"/>
    </xf>
    <xf numFmtId="0" fontId="0" fillId="0" borderId="18" xfId="0" applyBorder="1" applyAlignment="1">
      <alignment vertical="top" wrapText="1"/>
    </xf>
    <xf numFmtId="0" fontId="0" fillId="0" borderId="2" xfId="0" applyBorder="1" applyAlignment="1">
      <alignment horizontal="left" vertical="top" wrapText="1"/>
    </xf>
    <xf numFmtId="0" fontId="0" fillId="0" borderId="2" xfId="0" applyBorder="1" applyAlignment="1">
      <alignment horizontal="center" vertical="top" wrapText="1"/>
    </xf>
    <xf numFmtId="49" fontId="22" fillId="0" borderId="4" xfId="0" applyNumberFormat="1" applyFont="1" applyBorder="1" applyAlignment="1">
      <alignment horizontal="center" vertical="top" wrapText="1"/>
    </xf>
    <xf numFmtId="0" fontId="22" fillId="0" borderId="2" xfId="0" applyFont="1" applyBorder="1" applyAlignment="1">
      <alignment horizontal="left" vertical="top"/>
    </xf>
    <xf numFmtId="0" fontId="26" fillId="0" borderId="9" xfId="0" applyFont="1" applyBorder="1" applyAlignment="1">
      <alignment horizontal="center" vertical="top"/>
    </xf>
    <xf numFmtId="0" fontId="26" fillId="0" borderId="3" xfId="0" applyFont="1" applyFill="1" applyBorder="1" applyAlignment="1">
      <alignment horizontal="left" vertical="top"/>
    </xf>
    <xf numFmtId="0" fontId="0" fillId="0" borderId="24" xfId="0" applyBorder="1" applyAlignment="1">
      <alignment vertical="top" wrapText="1"/>
    </xf>
    <xf numFmtId="0" fontId="26" fillId="0" borderId="24" xfId="0" applyFont="1" applyBorder="1" applyAlignment="1">
      <alignment horizontal="center" vertical="top" wrapText="1"/>
    </xf>
    <xf numFmtId="0" fontId="19" fillId="0" borderId="3" xfId="0" applyNumberFormat="1" applyFont="1" applyBorder="1" applyAlignment="1">
      <alignment horizontal="center" vertical="center" wrapText="1"/>
    </xf>
    <xf numFmtId="0" fontId="33" fillId="0" borderId="3" xfId="0" applyNumberFormat="1" applyFont="1" applyBorder="1" applyAlignment="1">
      <alignment horizontal="center" vertical="top" wrapText="1"/>
    </xf>
    <xf numFmtId="0" fontId="17" fillId="0" borderId="18" xfId="0" applyNumberFormat="1" applyFont="1" applyFill="1" applyBorder="1" applyAlignment="1">
      <alignment horizontal="left" vertical="top" wrapText="1"/>
    </xf>
    <xf numFmtId="0" fontId="23" fillId="0" borderId="12" xfId="0" applyFont="1" applyBorder="1" applyAlignment="1">
      <alignment horizontal="left" vertical="top" wrapText="1"/>
    </xf>
    <xf numFmtId="0" fontId="26" fillId="0" borderId="6" xfId="0" applyFont="1" applyBorder="1" applyAlignment="1">
      <alignment horizontal="center" vertical="top"/>
    </xf>
    <xf numFmtId="49" fontId="0" fillId="0" borderId="3" xfId="0" applyNumberFormat="1" applyBorder="1" applyAlignment="1">
      <alignment vertical="top" wrapText="1"/>
    </xf>
    <xf numFmtId="0" fontId="30" fillId="0" borderId="3" xfId="0" applyFont="1" applyBorder="1" applyAlignment="1">
      <alignment horizontal="center" vertical="top" wrapText="1"/>
    </xf>
    <xf numFmtId="0" fontId="23" fillId="0" borderId="6" xfId="0" applyFont="1" applyBorder="1" applyAlignment="1">
      <alignment horizontal="center" vertical="top" wrapText="1"/>
    </xf>
    <xf numFmtId="0" fontId="26" fillId="0" borderId="9" xfId="0" applyFont="1" applyBorder="1" applyAlignment="1">
      <alignment horizontal="center" vertical="center"/>
    </xf>
    <xf numFmtId="0" fontId="0" fillId="0" borderId="3" xfId="0" applyBorder="1" applyAlignment="1">
      <alignment horizontal="center" vertical="center" wrapText="1"/>
    </xf>
    <xf numFmtId="0" fontId="23" fillId="0" borderId="6" xfId="0" applyFont="1" applyFill="1" applyBorder="1" applyAlignment="1">
      <alignment horizontal="center" vertical="top"/>
    </xf>
    <xf numFmtId="0" fontId="0" fillId="0" borderId="12" xfId="0" applyBorder="1" applyAlignment="1">
      <alignment horizontal="center" vertical="top"/>
    </xf>
    <xf numFmtId="0" fontId="4" fillId="0" borderId="7" xfId="1" applyFont="1" applyFill="1" applyBorder="1" applyAlignment="1" applyProtection="1">
      <alignment horizontal="center" vertical="top" wrapText="1"/>
    </xf>
    <xf numFmtId="0" fontId="26" fillId="0" borderId="6" xfId="0" applyFont="1" applyFill="1" applyBorder="1" applyAlignment="1">
      <alignment horizontal="center"/>
    </xf>
    <xf numFmtId="0" fontId="24" fillId="0" borderId="9" xfId="0" applyFont="1" applyBorder="1" applyAlignment="1">
      <alignment horizontal="center"/>
    </xf>
    <xf numFmtId="0" fontId="24" fillId="0" borderId="24" xfId="0" applyFont="1" applyBorder="1" applyAlignment="1">
      <alignment horizontal="center"/>
    </xf>
    <xf numFmtId="0" fontId="24" fillId="0" borderId="9" xfId="0" applyFont="1" applyBorder="1"/>
    <xf numFmtId="164" fontId="0" fillId="0" borderId="0" xfId="0" applyNumberFormat="1" applyProtection="1">
      <protection locked="0"/>
    </xf>
    <xf numFmtId="0" fontId="22" fillId="0" borderId="3" xfId="0" applyFont="1" applyFill="1" applyBorder="1" applyAlignment="1">
      <alignment horizontal="center" vertical="top" wrapText="1"/>
    </xf>
    <xf numFmtId="164" fontId="0" fillId="0" borderId="0" xfId="0" applyNumberFormat="1" applyBorder="1" applyAlignment="1" applyProtection="1">
      <alignment horizontal="center"/>
      <protection locked="0"/>
    </xf>
    <xf numFmtId="0" fontId="23" fillId="0" borderId="4" xfId="0" applyFont="1" applyFill="1" applyBorder="1" applyAlignment="1">
      <alignment horizontal="center" vertical="top" wrapText="1"/>
    </xf>
    <xf numFmtId="0" fontId="31" fillId="0" borderId="3" xfId="0" applyFont="1" applyBorder="1" applyAlignment="1">
      <alignment vertical="top" wrapText="1"/>
    </xf>
    <xf numFmtId="0" fontId="0" fillId="0" borderId="3" xfId="0" applyFont="1" applyFill="1" applyBorder="1" applyAlignment="1">
      <alignment horizontal="center" vertical="top" wrapText="1"/>
    </xf>
    <xf numFmtId="0" fontId="24" fillId="0" borderId="1" xfId="0" applyFont="1" applyBorder="1" applyAlignment="1">
      <alignment horizontal="center" wrapText="1"/>
    </xf>
    <xf numFmtId="0" fontId="0" fillId="0" borderId="0" xfId="0" applyAlignment="1">
      <alignment horizontal="center" wrapText="1"/>
    </xf>
    <xf numFmtId="0" fontId="0" fillId="0" borderId="4" xfId="0" applyBorder="1" applyAlignment="1">
      <alignment horizontal="left" vertical="top"/>
    </xf>
    <xf numFmtId="0" fontId="26" fillId="0" borderId="4" xfId="0" applyFont="1" applyFill="1" applyBorder="1" applyAlignment="1">
      <alignment horizontal="center" vertical="top" wrapText="1"/>
    </xf>
    <xf numFmtId="0" fontId="0" fillId="0" borderId="9" xfId="0" applyBorder="1" applyAlignment="1">
      <alignment horizontal="center" wrapText="1"/>
    </xf>
    <xf numFmtId="49" fontId="0" fillId="0" borderId="18" xfId="0" applyNumberFormat="1" applyBorder="1" applyAlignment="1">
      <alignment horizontal="center" vertical="top" wrapText="1"/>
    </xf>
    <xf numFmtId="0" fontId="26" fillId="0" borderId="2" xfId="0" applyFont="1" applyFill="1" applyBorder="1" applyAlignment="1">
      <alignment horizontal="center"/>
    </xf>
    <xf numFmtId="0" fontId="0" fillId="0" borderId="1" xfId="0" applyBorder="1" applyAlignment="1">
      <alignment wrapText="1"/>
    </xf>
    <xf numFmtId="0" fontId="22" fillId="0" borderId="2" xfId="0" applyFont="1" applyBorder="1" applyAlignment="1">
      <alignment horizontal="center" vertical="top" wrapText="1"/>
    </xf>
    <xf numFmtId="0" fontId="23" fillId="0" borderId="2" xfId="0" applyFont="1" applyFill="1" applyBorder="1" applyAlignment="1">
      <alignment horizontal="center" vertical="top" wrapText="1"/>
    </xf>
    <xf numFmtId="0" fontId="0" fillId="0" borderId="2" xfId="0" applyBorder="1"/>
    <xf numFmtId="0" fontId="30" fillId="0" borderId="2" xfId="0" applyFont="1" applyBorder="1" applyAlignment="1">
      <alignment horizontal="left" vertical="top" wrapText="1"/>
    </xf>
    <xf numFmtId="0" fontId="26" fillId="0" borderId="4" xfId="0" applyFont="1" applyFill="1" applyBorder="1" applyAlignment="1">
      <alignment horizontal="center"/>
    </xf>
    <xf numFmtId="0" fontId="0" fillId="0" borderId="4" xfId="0" applyBorder="1" applyAlignment="1">
      <alignment vertical="top"/>
    </xf>
    <xf numFmtId="0" fontId="26" fillId="0" borderId="4" xfId="0" applyFont="1" applyFill="1" applyBorder="1" applyAlignment="1">
      <alignment horizontal="center" vertical="top"/>
    </xf>
    <xf numFmtId="0" fontId="0" fillId="0" borderId="2" xfId="0" applyBorder="1" applyAlignment="1">
      <alignment horizontal="center" wrapText="1"/>
    </xf>
    <xf numFmtId="0" fontId="0" fillId="0" borderId="1" xfId="0" applyBorder="1" applyAlignment="1">
      <alignment horizontal="center" wrapText="1"/>
    </xf>
    <xf numFmtId="0" fontId="0" fillId="0" borderId="18" xfId="0" applyBorder="1" applyAlignment="1">
      <alignment horizontal="center" wrapText="1"/>
    </xf>
    <xf numFmtId="0" fontId="0" fillId="0" borderId="4" xfId="0" applyBorder="1" applyAlignment="1">
      <alignment horizontal="center" wrapText="1"/>
    </xf>
    <xf numFmtId="0" fontId="0" fillId="0" borderId="18" xfId="0" applyBorder="1"/>
    <xf numFmtId="0" fontId="0" fillId="0" borderId="28" xfId="0" applyBorder="1"/>
    <xf numFmtId="0" fontId="0" fillId="0" borderId="1" xfId="0" applyBorder="1" applyAlignment="1">
      <alignment vertical="top"/>
    </xf>
    <xf numFmtId="0" fontId="22" fillId="0" borderId="4" xfId="0" applyFont="1" applyBorder="1" applyAlignment="1" applyProtection="1">
      <alignment horizontal="center" vertical="top" wrapText="1"/>
    </xf>
    <xf numFmtId="0" fontId="26" fillId="0" borderId="3" xfId="0" applyFont="1" applyFill="1" applyBorder="1" applyAlignment="1">
      <alignment horizontal="center" wrapText="1"/>
    </xf>
    <xf numFmtId="0" fontId="26" fillId="0" borderId="3" xfId="0" applyFont="1" applyBorder="1" applyAlignment="1">
      <alignment horizontal="center" wrapText="1"/>
    </xf>
    <xf numFmtId="0" fontId="23" fillId="0" borderId="3" xfId="0" applyFont="1" applyFill="1" applyBorder="1" applyAlignment="1">
      <alignment horizontal="center" wrapText="1"/>
    </xf>
    <xf numFmtId="0" fontId="26" fillId="0" borderId="2" xfId="0" applyFont="1" applyFill="1" applyBorder="1" applyAlignment="1">
      <alignment horizontal="center" wrapText="1"/>
    </xf>
    <xf numFmtId="0" fontId="26" fillId="0" borderId="4" xfId="0" applyFont="1" applyFill="1" applyBorder="1" applyAlignment="1">
      <alignment horizontal="center" wrapText="1"/>
    </xf>
    <xf numFmtId="0" fontId="6" fillId="0" borderId="3" xfId="0" applyNumberFormat="1" applyFont="1" applyBorder="1" applyAlignment="1">
      <alignment horizontal="left" vertical="top" wrapText="1"/>
    </xf>
    <xf numFmtId="49" fontId="22" fillId="0" borderId="3" xfId="0" applyNumberFormat="1" applyFont="1" applyBorder="1" applyAlignment="1">
      <alignment horizontal="left" vertical="top" wrapText="1"/>
    </xf>
    <xf numFmtId="0" fontId="22" fillId="0" borderId="1" xfId="0" applyFont="1" applyBorder="1" applyAlignment="1">
      <alignment horizontal="left" vertical="top" wrapText="1"/>
    </xf>
    <xf numFmtId="0" fontId="23" fillId="0" borderId="1" xfId="0" applyFont="1" applyFill="1" applyBorder="1" applyAlignment="1">
      <alignment horizontal="center" vertical="top" wrapText="1"/>
    </xf>
    <xf numFmtId="49" fontId="22" fillId="0" borderId="1" xfId="0" applyNumberFormat="1" applyFont="1" applyBorder="1" applyAlignment="1">
      <alignment horizontal="left" vertical="top" wrapText="1"/>
    </xf>
    <xf numFmtId="0" fontId="24" fillId="0" borderId="4" xfId="0" applyFont="1" applyBorder="1" applyAlignment="1">
      <alignment horizontal="center" wrapText="1"/>
    </xf>
    <xf numFmtId="49" fontId="24" fillId="0" borderId="4" xfId="0" applyNumberFormat="1" applyFont="1" applyBorder="1" applyAlignment="1">
      <alignment horizontal="center" vertical="top" wrapText="1"/>
    </xf>
    <xf numFmtId="0" fontId="23" fillId="0" borderId="4" xfId="0" applyFont="1" applyBorder="1" applyAlignment="1">
      <alignment horizontal="center" vertical="top" wrapText="1"/>
    </xf>
    <xf numFmtId="0" fontId="31" fillId="0" borderId="4" xfId="0" applyFont="1" applyBorder="1" applyAlignment="1">
      <alignment horizontal="center" vertical="top" wrapText="1"/>
    </xf>
    <xf numFmtId="0" fontId="0" fillId="0" borderId="4" xfId="0" applyFill="1" applyBorder="1" applyAlignment="1">
      <alignment vertical="top" wrapText="1"/>
    </xf>
    <xf numFmtId="49" fontId="0" fillId="0" borderId="8" xfId="0" applyNumberFormat="1" applyBorder="1" applyAlignment="1">
      <alignment horizontal="center" vertical="top" wrapText="1"/>
    </xf>
    <xf numFmtId="49" fontId="24" fillId="0" borderId="1" xfId="0" applyNumberFormat="1" applyFont="1" applyFill="1" applyBorder="1" applyAlignment="1">
      <alignment horizontal="center" vertical="top" wrapText="1"/>
    </xf>
    <xf numFmtId="0" fontId="22" fillId="0" borderId="9" xfId="0" applyFont="1" applyBorder="1" applyAlignment="1">
      <alignment horizontal="left" vertical="top" wrapText="1"/>
    </xf>
    <xf numFmtId="0" fontId="23" fillId="0" borderId="9" xfId="0" applyFont="1" applyFill="1" applyBorder="1" applyAlignment="1">
      <alignment horizontal="center" vertical="top" wrapText="1"/>
    </xf>
    <xf numFmtId="49" fontId="23" fillId="0" borderId="4" xfId="0" applyNumberFormat="1" applyFont="1" applyBorder="1" applyAlignment="1">
      <alignment horizontal="center" vertical="top" wrapText="1"/>
    </xf>
    <xf numFmtId="49" fontId="23" fillId="0" borderId="1" xfId="0" applyNumberFormat="1" applyFont="1" applyBorder="1" applyAlignment="1">
      <alignment horizontal="center" vertical="top" wrapText="1"/>
    </xf>
    <xf numFmtId="0" fontId="23" fillId="0" borderId="10" xfId="0" applyFont="1" applyBorder="1" applyAlignment="1">
      <alignment horizontal="left" vertical="top" wrapText="1"/>
    </xf>
    <xf numFmtId="0" fontId="23" fillId="0" borderId="1" xfId="0" applyFont="1" applyBorder="1" applyAlignment="1">
      <alignment horizontal="center" vertical="top" wrapText="1"/>
    </xf>
    <xf numFmtId="0" fontId="22" fillId="0" borderId="1" xfId="0" applyFont="1" applyBorder="1" applyAlignment="1">
      <alignment horizontal="center" vertical="top" wrapText="1"/>
    </xf>
    <xf numFmtId="0" fontId="26" fillId="0" borderId="1" xfId="0" applyFont="1" applyFill="1" applyBorder="1" applyAlignment="1">
      <alignment horizontal="center" vertical="top" wrapText="1"/>
    </xf>
    <xf numFmtId="49" fontId="22" fillId="0" borderId="1" xfId="0" applyNumberFormat="1" applyFont="1" applyBorder="1" applyAlignment="1">
      <alignment horizontal="center" vertical="top" wrapText="1"/>
    </xf>
    <xf numFmtId="0" fontId="31" fillId="0" borderId="1" xfId="0" applyFont="1" applyFill="1" applyBorder="1" applyAlignment="1">
      <alignment horizontal="center" vertical="top" wrapText="1"/>
    </xf>
    <xf numFmtId="0" fontId="23" fillId="0" borderId="1" xfId="0" applyFont="1" applyBorder="1"/>
    <xf numFmtId="0" fontId="4" fillId="0" borderId="16" xfId="1" applyFont="1" applyBorder="1" applyAlignment="1" applyProtection="1">
      <alignment horizontal="center"/>
    </xf>
    <xf numFmtId="0" fontId="0" fillId="0" borderId="1" xfId="0" applyFill="1" applyBorder="1" applyAlignment="1">
      <alignment vertical="top" wrapText="1"/>
    </xf>
    <xf numFmtId="0" fontId="0" fillId="0" borderId="1" xfId="0" applyFill="1" applyBorder="1" applyAlignment="1">
      <alignment horizontal="center" vertical="top" wrapText="1"/>
    </xf>
    <xf numFmtId="0" fontId="0" fillId="0" borderId="10" xfId="0" applyFill="1" applyBorder="1" applyAlignment="1">
      <alignment horizontal="center" vertical="top"/>
    </xf>
    <xf numFmtId="0" fontId="24" fillId="0" borderId="1" xfId="0" applyFont="1" applyFill="1" applyBorder="1" applyAlignment="1">
      <alignment vertical="top" wrapText="1"/>
    </xf>
    <xf numFmtId="0" fontId="0" fillId="0" borderId="2" xfId="0" applyBorder="1" applyAlignment="1">
      <alignment vertical="top" wrapText="1"/>
    </xf>
    <xf numFmtId="0" fontId="0" fillId="0" borderId="0" xfId="0" applyAlignment="1">
      <alignment vertical="top" wrapText="1"/>
    </xf>
    <xf numFmtId="0" fontId="24" fillId="0" borderId="1" xfId="0" applyFont="1" applyFill="1" applyBorder="1" applyAlignment="1">
      <alignment horizontal="center" vertical="top" wrapText="1"/>
    </xf>
    <xf numFmtId="0" fontId="24" fillId="0" borderId="4" xfId="0" applyFont="1" applyBorder="1" applyAlignment="1">
      <alignment horizontal="center" vertical="top" wrapText="1"/>
    </xf>
    <xf numFmtId="0" fontId="24" fillId="0" borderId="3" xfId="0" applyFont="1" applyBorder="1" applyAlignment="1">
      <alignment wrapText="1"/>
    </xf>
    <xf numFmtId="0" fontId="24" fillId="0" borderId="3" xfId="0" applyFont="1" applyBorder="1" applyAlignment="1">
      <alignment horizontal="center"/>
    </xf>
    <xf numFmtId="0" fontId="21" fillId="0" borderId="6" xfId="1" applyBorder="1" applyAlignment="1" applyProtection="1">
      <alignment horizontal="center"/>
    </xf>
    <xf numFmtId="0" fontId="0" fillId="0" borderId="6" xfId="0" applyBorder="1" applyAlignment="1">
      <alignment horizontal="center" vertical="center" wrapText="1"/>
    </xf>
    <xf numFmtId="0" fontId="0" fillId="0" borderId="8" xfId="0" applyNumberFormat="1" applyBorder="1" applyAlignment="1">
      <alignment horizontal="center" vertical="top" wrapText="1"/>
    </xf>
    <xf numFmtId="0" fontId="26" fillId="0" borderId="8" xfId="0" applyNumberFormat="1" applyFont="1" applyBorder="1" applyAlignment="1">
      <alignment horizontal="center" vertical="top" wrapText="1"/>
    </xf>
    <xf numFmtId="0" fontId="34" fillId="0" borderId="0" xfId="0" applyFont="1"/>
    <xf numFmtId="0" fontId="0" fillId="0" borderId="25" xfId="0" applyBorder="1"/>
    <xf numFmtId="0" fontId="0" fillId="0" borderId="14" xfId="0" applyBorder="1" applyAlignment="1">
      <alignment horizontal="left" vertical="top" wrapText="1"/>
    </xf>
    <xf numFmtId="0" fontId="0" fillId="0" borderId="14" xfId="0" applyBorder="1"/>
    <xf numFmtId="0" fontId="22" fillId="0" borderId="14" xfId="0" applyFont="1" applyBorder="1" applyAlignment="1">
      <alignment horizontal="left" vertical="top" wrapText="1"/>
    </xf>
    <xf numFmtId="0" fontId="0" fillId="0" borderId="25" xfId="0" applyBorder="1" applyAlignment="1">
      <alignment horizontal="left" vertical="top" wrapText="1"/>
    </xf>
    <xf numFmtId="0" fontId="0" fillId="0" borderId="14" xfId="0" applyNumberFormat="1" applyBorder="1" applyAlignment="1">
      <alignment horizontal="left" vertical="top" wrapText="1"/>
    </xf>
    <xf numFmtId="0" fontId="0" fillId="0" borderId="14" xfId="0" applyBorder="1" applyAlignment="1">
      <alignment horizontal="center" wrapText="1"/>
    </xf>
    <xf numFmtId="49" fontId="0" fillId="0" borderId="14" xfId="0" applyNumberFormat="1" applyBorder="1" applyAlignment="1">
      <alignment horizontal="center" vertical="top" wrapText="1"/>
    </xf>
    <xf numFmtId="0" fontId="22" fillId="0" borderId="14" xfId="0" applyNumberFormat="1" applyFont="1" applyBorder="1" applyAlignment="1">
      <alignment horizontal="center" vertical="top" wrapText="1"/>
    </xf>
    <xf numFmtId="49" fontId="23" fillId="0" borderId="14" xfId="0" applyNumberFormat="1" applyFont="1" applyBorder="1" applyAlignment="1">
      <alignment horizontal="center" vertical="top" wrapText="1"/>
    </xf>
    <xf numFmtId="0" fontId="23" fillId="0" borderId="1" xfId="0" applyFont="1" applyBorder="1" applyAlignment="1">
      <alignment horizontal="center"/>
    </xf>
    <xf numFmtId="49" fontId="23" fillId="0" borderId="17" xfId="0" applyNumberFormat="1" applyFont="1" applyBorder="1" applyAlignment="1">
      <alignment horizontal="center" vertical="top" wrapText="1"/>
    </xf>
    <xf numFmtId="0" fontId="0" fillId="0" borderId="15" xfId="0" applyBorder="1" applyAlignment="1">
      <alignment horizontal="center" wrapText="1"/>
    </xf>
    <xf numFmtId="0" fontId="0" fillId="0" borderId="17" xfId="0" applyBorder="1" applyAlignment="1">
      <alignment horizontal="left" vertical="top" wrapText="1"/>
    </xf>
    <xf numFmtId="49" fontId="0" fillId="0" borderId="15" xfId="0" applyNumberFormat="1" applyBorder="1" applyAlignment="1">
      <alignment horizontal="center" vertical="top" wrapText="1"/>
    </xf>
    <xf numFmtId="0" fontId="0" fillId="0" borderId="14" xfId="0" applyBorder="1" applyAlignment="1">
      <alignment horizontal="center" vertical="top" wrapText="1"/>
    </xf>
    <xf numFmtId="0" fontId="0" fillId="0" borderId="17" xfId="0" applyBorder="1" applyAlignment="1">
      <alignment horizontal="center" vertical="top" wrapText="1"/>
    </xf>
    <xf numFmtId="49" fontId="0" fillId="0" borderId="25" xfId="0" applyNumberFormat="1" applyBorder="1" applyAlignment="1">
      <alignment horizontal="center" vertical="top" wrapText="1"/>
    </xf>
    <xf numFmtId="49" fontId="0" fillId="0" borderId="17" xfId="0" applyNumberFormat="1" applyBorder="1" applyAlignment="1">
      <alignment horizontal="center" vertical="top" wrapText="1"/>
    </xf>
    <xf numFmtId="49" fontId="23" fillId="0" borderId="15" xfId="0" applyNumberFormat="1" applyFont="1" applyBorder="1" applyAlignment="1">
      <alignment horizontal="center" vertical="top" wrapText="1"/>
    </xf>
    <xf numFmtId="49" fontId="22" fillId="0" borderId="14" xfId="0" applyNumberFormat="1" applyFont="1" applyBorder="1" applyAlignment="1">
      <alignment horizontal="center" vertical="top" wrapText="1"/>
    </xf>
    <xf numFmtId="49" fontId="30" fillId="0" borderId="15"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49" fontId="22" fillId="0" borderId="15" xfId="0" applyNumberFormat="1" applyFont="1" applyBorder="1" applyAlignment="1">
      <alignment horizontal="center" vertical="top" wrapText="1"/>
    </xf>
    <xf numFmtId="49" fontId="0" fillId="0" borderId="32" xfId="0" applyNumberFormat="1" applyBorder="1" applyAlignment="1">
      <alignment horizontal="center" vertical="top" wrapText="1"/>
    </xf>
    <xf numFmtId="49" fontId="0" fillId="0" borderId="23" xfId="0" applyNumberFormat="1" applyBorder="1" applyAlignment="1">
      <alignment horizontal="center" vertical="top" wrapText="1"/>
    </xf>
    <xf numFmtId="49" fontId="0" fillId="0" borderId="14" xfId="0" applyNumberFormat="1" applyBorder="1" applyAlignment="1">
      <alignment vertical="top" wrapText="1"/>
    </xf>
    <xf numFmtId="0" fontId="0" fillId="0" borderId="17" xfId="0" applyNumberFormat="1" applyBorder="1" applyAlignment="1">
      <alignment horizontal="center" vertical="top" wrapText="1"/>
    </xf>
    <xf numFmtId="0" fontId="0" fillId="0" borderId="33" xfId="0" applyBorder="1" applyAlignment="1">
      <alignment horizontal="left" vertical="top" wrapText="1"/>
    </xf>
    <xf numFmtId="0" fontId="0" fillId="0" borderId="14" xfId="0" applyFill="1" applyBorder="1" applyAlignment="1">
      <alignment horizontal="center" vertical="top" wrapText="1"/>
    </xf>
    <xf numFmtId="0" fontId="0" fillId="0" borderId="14" xfId="0" applyBorder="1" applyAlignment="1">
      <alignment horizontal="center"/>
    </xf>
    <xf numFmtId="0" fontId="0" fillId="0" borderId="14" xfId="0" applyBorder="1" applyAlignment="1">
      <alignment horizontal="left"/>
    </xf>
    <xf numFmtId="0" fontId="0" fillId="0" borderId="0" xfId="0" applyBorder="1" applyProtection="1">
      <protection locked="0"/>
    </xf>
    <xf numFmtId="0" fontId="17" fillId="0" borderId="9" xfId="0" applyNumberFormat="1" applyFont="1" applyBorder="1" applyAlignment="1">
      <alignment horizontal="left" vertical="top" wrapText="1"/>
    </xf>
    <xf numFmtId="49" fontId="38" fillId="0" borderId="4" xfId="1" applyNumberFormat="1" applyFont="1" applyBorder="1" applyAlignment="1" applyProtection="1">
      <alignment horizontal="left" vertical="top" wrapText="1"/>
    </xf>
    <xf numFmtId="0" fontId="0" fillId="0" borderId="9"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horizontal="center" vertical="top"/>
    </xf>
    <xf numFmtId="0" fontId="0" fillId="0" borderId="32" xfId="0" applyBorder="1" applyAlignment="1">
      <alignment horizontal="left" vertical="top" wrapText="1"/>
    </xf>
    <xf numFmtId="0" fontId="0" fillId="0" borderId="0" xfId="0" applyAlignment="1">
      <alignment wrapText="1"/>
    </xf>
    <xf numFmtId="0" fontId="0" fillId="0" borderId="3" xfId="0" applyFont="1" applyBorder="1" applyAlignment="1">
      <alignment horizontal="left" vertical="center" wrapText="1"/>
    </xf>
    <xf numFmtId="0" fontId="0" fillId="0" borderId="3" xfId="0" applyFont="1" applyBorder="1" applyAlignment="1">
      <alignment horizontal="left" vertical="top" wrapText="1"/>
    </xf>
    <xf numFmtId="0" fontId="24" fillId="0" borderId="1" xfId="0" applyFont="1" applyBorder="1" applyAlignment="1">
      <alignment wrapText="1"/>
    </xf>
    <xf numFmtId="0" fontId="22" fillId="0" borderId="4" xfId="0" applyFont="1" applyBorder="1" applyAlignment="1">
      <alignment wrapText="1"/>
    </xf>
    <xf numFmtId="0" fontId="22" fillId="0" borderId="1" xfId="0" applyFont="1" applyFill="1" applyBorder="1" applyAlignment="1">
      <alignment wrapText="1"/>
    </xf>
    <xf numFmtId="0" fontId="23" fillId="0" borderId="3" xfId="0" applyFont="1" applyBorder="1" applyAlignment="1">
      <alignment wrapText="1"/>
    </xf>
    <xf numFmtId="0" fontId="23" fillId="0" borderId="1" xfId="0" applyFont="1" applyBorder="1" applyAlignment="1">
      <alignment wrapText="1"/>
    </xf>
    <xf numFmtId="49" fontId="23" fillId="0" borderId="14" xfId="0" applyNumberFormat="1" applyFont="1" applyBorder="1" applyAlignment="1">
      <alignment horizontal="left" vertical="top" wrapText="1"/>
    </xf>
    <xf numFmtId="49" fontId="24" fillId="0" borderId="25" xfId="0" applyNumberFormat="1" applyFont="1" applyBorder="1" applyAlignment="1">
      <alignment horizontal="center" vertical="top" wrapText="1"/>
    </xf>
    <xf numFmtId="0" fontId="23" fillId="0" borderId="45" xfId="0" applyFont="1" applyBorder="1" applyAlignment="1">
      <alignment wrapText="1"/>
    </xf>
    <xf numFmtId="0" fontId="0" fillId="0" borderId="3" xfId="0" applyFont="1" applyBorder="1" applyAlignment="1">
      <alignment vertical="center" wrapText="1"/>
    </xf>
    <xf numFmtId="0" fontId="4" fillId="0" borderId="0" xfId="1" applyFont="1" applyBorder="1" applyAlignment="1" applyProtection="1">
      <alignment horizontal="center" wrapText="1"/>
    </xf>
    <xf numFmtId="0" fontId="30" fillId="0" borderId="32" xfId="0" applyFont="1" applyBorder="1" applyAlignment="1">
      <alignment horizontal="left" vertical="top" wrapText="1"/>
    </xf>
    <xf numFmtId="0" fontId="26" fillId="0" borderId="9" xfId="0" applyFont="1" applyBorder="1" applyAlignment="1">
      <alignment horizontal="center" vertical="top" wrapText="1"/>
    </xf>
    <xf numFmtId="0" fontId="40" fillId="0" borderId="20" xfId="0" applyFont="1" applyBorder="1" applyAlignment="1">
      <alignment horizontal="center" wrapText="1"/>
    </xf>
    <xf numFmtId="0" fontId="22" fillId="0" borderId="25" xfId="0" applyFont="1" applyBorder="1" applyAlignment="1">
      <alignment horizontal="center" vertical="top" wrapText="1"/>
    </xf>
    <xf numFmtId="49" fontId="0" fillId="0" borderId="14" xfId="0" applyNumberFormat="1" applyBorder="1" applyAlignment="1">
      <alignment horizontal="left" vertical="center" wrapText="1"/>
    </xf>
    <xf numFmtId="49" fontId="0" fillId="0" borderId="32" xfId="0" applyNumberFormat="1" applyBorder="1" applyAlignment="1">
      <alignment horizontal="left" vertical="center" wrapText="1"/>
    </xf>
    <xf numFmtId="0" fontId="0" fillId="0" borderId="6" xfId="0" applyBorder="1" applyAlignment="1">
      <alignment horizontal="center" vertical="top" wrapText="1"/>
    </xf>
    <xf numFmtId="0" fontId="6" fillId="0" borderId="2" xfId="0" applyFont="1" applyBorder="1" applyAlignment="1">
      <alignment wrapText="1"/>
    </xf>
    <xf numFmtId="0" fontId="6" fillId="0" borderId="3" xfId="0" applyFont="1" applyBorder="1" applyAlignment="1">
      <alignment vertical="top" wrapText="1"/>
    </xf>
    <xf numFmtId="0" fontId="4" fillId="0" borderId="3" xfId="0" applyFont="1" applyFill="1" applyBorder="1" applyAlignment="1">
      <alignment wrapText="1"/>
    </xf>
    <xf numFmtId="0" fontId="11" fillId="0" borderId="0" xfId="0" applyFont="1" applyFill="1" applyBorder="1" applyAlignment="1">
      <alignment wrapText="1"/>
    </xf>
    <xf numFmtId="0" fontId="22" fillId="0" borderId="0" xfId="0" applyFont="1" applyBorder="1" applyAlignment="1">
      <alignment wrapText="1"/>
    </xf>
    <xf numFmtId="0" fontId="0" fillId="0" borderId="0" xfId="0" applyBorder="1" applyAlignment="1">
      <alignment wrapText="1"/>
    </xf>
    <xf numFmtId="0" fontId="24" fillId="0" borderId="10" xfId="0" applyFont="1" applyBorder="1" applyAlignment="1">
      <alignment horizontal="center" vertical="top"/>
    </xf>
    <xf numFmtId="0" fontId="0" fillId="0" borderId="5" xfId="0" applyBorder="1" applyAlignment="1">
      <alignment horizontal="center" vertical="top"/>
    </xf>
    <xf numFmtId="0" fontId="0" fillId="0" borderId="0" xfId="0" applyAlignment="1">
      <alignment horizontal="center" vertical="top"/>
    </xf>
    <xf numFmtId="0" fontId="12" fillId="0" borderId="0" xfId="0" applyFont="1" applyFill="1" applyBorder="1" applyAlignment="1">
      <alignment horizontal="left" vertical="top"/>
    </xf>
    <xf numFmtId="0" fontId="24" fillId="0" borderId="1" xfId="0" applyFont="1" applyBorder="1" applyAlignment="1">
      <alignment horizontal="center" vertical="top"/>
    </xf>
    <xf numFmtId="0" fontId="12" fillId="0" borderId="0" xfId="0" applyFont="1" applyFill="1" applyBorder="1" applyAlignment="1">
      <alignment horizontal="center" vertical="top"/>
    </xf>
    <xf numFmtId="0" fontId="3" fillId="0" borderId="12" xfId="1" applyFont="1" applyBorder="1" applyAlignment="1" applyProtection="1">
      <alignment horizontal="center" vertical="top" wrapText="1"/>
    </xf>
    <xf numFmtId="0" fontId="4" fillId="0" borderId="10" xfId="0" applyFont="1" applyFill="1" applyBorder="1" applyAlignment="1">
      <alignment horizontal="center" vertical="top" wrapText="1"/>
    </xf>
    <xf numFmtId="0" fontId="0" fillId="0" borderId="1" xfId="0" applyFill="1" applyBorder="1" applyAlignment="1">
      <alignment horizontal="left" vertical="top"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24" fillId="0" borderId="3" xfId="0" applyFont="1" applyBorder="1" applyAlignment="1" applyProtection="1">
      <alignment horizontal="left" vertical="center" wrapText="1"/>
    </xf>
    <xf numFmtId="0" fontId="24" fillId="0" borderId="1" xfId="0" applyFont="1" applyBorder="1" applyAlignment="1">
      <alignment horizontal="center" vertical="center"/>
    </xf>
    <xf numFmtId="0" fontId="0" fillId="0" borderId="18" xfId="0" applyBorder="1" applyAlignment="1">
      <alignment horizontal="center" vertical="center"/>
    </xf>
    <xf numFmtId="0" fontId="21" fillId="0" borderId="3" xfId="1" applyBorder="1" applyAlignment="1" applyProtection="1">
      <alignment horizontal="center" vertical="center" wrapText="1"/>
    </xf>
    <xf numFmtId="0" fontId="4" fillId="0" borderId="4" xfId="1" applyFont="1" applyBorder="1" applyAlignment="1" applyProtection="1">
      <alignment horizontal="center" vertical="center" wrapText="1"/>
    </xf>
    <xf numFmtId="0" fontId="27" fillId="0" borderId="4" xfId="1" applyFont="1" applyBorder="1" applyAlignment="1" applyProtection="1">
      <alignment horizontal="center" vertical="center" wrapText="1"/>
    </xf>
    <xf numFmtId="0" fontId="0" fillId="0" borderId="1" xfId="0" applyBorder="1" applyAlignment="1">
      <alignment horizontal="center" vertical="center"/>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6" fillId="0" borderId="18" xfId="0" applyFont="1" applyBorder="1" applyAlignment="1">
      <alignment horizontal="center" vertical="center"/>
    </xf>
    <xf numFmtId="0" fontId="26" fillId="0" borderId="43" xfId="0" applyFont="1" applyBorder="1" applyAlignment="1">
      <alignment horizontal="center" vertical="center"/>
    </xf>
    <xf numFmtId="0" fontId="26" fillId="0" borderId="41" xfId="0" applyFont="1" applyBorder="1" applyAlignment="1">
      <alignment horizontal="center" vertical="center"/>
    </xf>
    <xf numFmtId="0" fontId="26" fillId="0" borderId="3" xfId="0" applyFont="1" applyBorder="1" applyAlignment="1">
      <alignment horizontal="center" vertical="center"/>
    </xf>
    <xf numFmtId="0" fontId="0" fillId="0" borderId="2" xfId="0" applyBorder="1" applyAlignment="1">
      <alignment horizontal="center" vertical="center"/>
    </xf>
    <xf numFmtId="0" fontId="26" fillId="0" borderId="1"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24" fillId="0" borderId="1" xfId="0" applyFont="1" applyBorder="1" applyAlignment="1">
      <alignment vertical="center" wrapText="1"/>
    </xf>
    <xf numFmtId="0" fontId="22" fillId="0" borderId="18" xfId="0" applyFont="1" applyBorder="1" applyAlignment="1">
      <alignment vertical="center" wrapText="1"/>
    </xf>
    <xf numFmtId="0" fontId="23" fillId="0" borderId="3" xfId="0" applyFont="1" applyBorder="1" applyAlignment="1">
      <alignment vertical="center" wrapText="1"/>
    </xf>
    <xf numFmtId="0" fontId="23" fillId="0" borderId="4" xfId="0" applyFont="1" applyBorder="1" applyAlignment="1">
      <alignment vertical="center" wrapText="1"/>
    </xf>
    <xf numFmtId="0" fontId="22" fillId="0" borderId="4" xfId="0" applyFont="1" applyBorder="1" applyAlignment="1">
      <alignment vertical="center" wrapText="1"/>
    </xf>
    <xf numFmtId="0" fontId="0" fillId="0" borderId="4" xfId="0" applyBorder="1" applyAlignment="1">
      <alignment vertical="center" wrapText="1"/>
    </xf>
    <xf numFmtId="0" fontId="0" fillId="0" borderId="1" xfId="0" applyBorder="1" applyAlignment="1">
      <alignment vertical="center" wrapText="1"/>
    </xf>
    <xf numFmtId="0" fontId="22" fillId="0" borderId="2" xfId="0" applyFont="1" applyBorder="1" applyAlignment="1">
      <alignment vertical="center" wrapText="1"/>
    </xf>
    <xf numFmtId="0" fontId="0" fillId="0" borderId="18" xfId="0" applyBorder="1" applyAlignment="1">
      <alignment vertical="center" wrapText="1"/>
    </xf>
    <xf numFmtId="0" fontId="0" fillId="0" borderId="43" xfId="0" applyBorder="1" applyAlignment="1">
      <alignment vertical="center" wrapText="1"/>
    </xf>
    <xf numFmtId="0" fontId="22" fillId="0" borderId="41" xfId="0" applyFont="1" applyBorder="1" applyAlignment="1">
      <alignment vertical="center" wrapText="1"/>
    </xf>
    <xf numFmtId="0" fontId="0" fillId="0" borderId="3" xfId="0" applyBorder="1" applyAlignment="1">
      <alignment vertical="center" wrapText="1"/>
    </xf>
    <xf numFmtId="0" fontId="0" fillId="0" borderId="1" xfId="0" applyBorder="1" applyAlignment="1">
      <alignment horizontal="left" vertical="center" wrapText="1"/>
    </xf>
    <xf numFmtId="0" fontId="22" fillId="0" borderId="18" xfId="0" applyFont="1"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vertical="center" wrapText="1"/>
    </xf>
    <xf numFmtId="0" fontId="24" fillId="0" borderId="1" xfId="0" applyFont="1" applyBorder="1" applyAlignment="1" applyProtection="1">
      <alignment horizontal="center" vertical="center"/>
      <protection locked="0"/>
    </xf>
    <xf numFmtId="0" fontId="0" fillId="0" borderId="18" xfId="0" applyBorder="1" applyAlignment="1" applyProtection="1">
      <alignment horizontal="center" vertical="center"/>
    </xf>
    <xf numFmtId="0" fontId="0" fillId="0" borderId="9" xfId="0" applyBorder="1" applyAlignment="1" applyProtection="1">
      <alignment horizontal="center" vertical="center"/>
      <protection locked="0"/>
    </xf>
    <xf numFmtId="0" fontId="0" fillId="0" borderId="9" xfId="0" applyBorder="1" applyAlignment="1" applyProtection="1">
      <alignment horizontal="center" vertical="center" wrapText="1"/>
      <protection locked="0"/>
    </xf>
    <xf numFmtId="0" fontId="0" fillId="0" borderId="9" xfId="0" applyBorder="1" applyAlignment="1" applyProtection="1">
      <alignment horizontal="center" vertical="center" wrapText="1"/>
    </xf>
    <xf numFmtId="0" fontId="0" fillId="0" borderId="3" xfId="0" applyBorder="1" applyAlignment="1" applyProtection="1">
      <alignment vertical="center"/>
      <protection locked="0"/>
    </xf>
    <xf numFmtId="0" fontId="0" fillId="0" borderId="9" xfId="0" applyBorder="1" applyAlignment="1" applyProtection="1">
      <alignment horizontal="center" vertical="center"/>
    </xf>
    <xf numFmtId="0" fontId="0" fillId="0" borderId="2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 xfId="0" applyBorder="1" applyAlignment="1" applyProtection="1">
      <alignment horizontal="center" vertical="center" wrapText="1"/>
    </xf>
    <xf numFmtId="0" fontId="0" fillId="0" borderId="3" xfId="0" applyFill="1" applyBorder="1" applyAlignment="1" applyProtection="1">
      <alignment horizontal="center" vertical="center"/>
      <protection locked="0"/>
    </xf>
    <xf numFmtId="0" fontId="0" fillId="0" borderId="1"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3" xfId="0" applyBorder="1" applyAlignment="1" applyProtection="1">
      <alignment horizontal="center" vertical="center"/>
      <protection locked="0"/>
    </xf>
    <xf numFmtId="0" fontId="0" fillId="0" borderId="3" xfId="0" applyBorder="1" applyAlignment="1" applyProtection="1">
      <alignment horizontal="center" vertical="center"/>
    </xf>
    <xf numFmtId="0" fontId="0" fillId="0" borderId="1" xfId="0" applyBorder="1" applyAlignment="1" applyProtection="1">
      <alignment horizontal="center" vertical="center"/>
    </xf>
    <xf numFmtId="0" fontId="0" fillId="0" borderId="4" xfId="0" applyBorder="1" applyAlignment="1" applyProtection="1">
      <alignment horizontal="center" vertical="center"/>
      <protection locked="0"/>
    </xf>
    <xf numFmtId="0" fontId="0" fillId="0" borderId="3" xfId="0" applyFont="1" applyBorder="1" applyAlignment="1">
      <alignment horizontal="center" vertical="center"/>
    </xf>
    <xf numFmtId="0" fontId="0" fillId="0" borderId="0" xfId="0" applyFont="1" applyAlignment="1">
      <alignment horizontal="center" vertical="center"/>
    </xf>
    <xf numFmtId="0" fontId="22" fillId="0" borderId="3" xfId="0" applyFont="1" applyBorder="1" applyAlignment="1" applyProtection="1">
      <alignment vertical="center"/>
    </xf>
    <xf numFmtId="0" fontId="0" fillId="0" borderId="0" xfId="0" applyAlignment="1" applyProtection="1">
      <alignment horizontal="center" vertical="center"/>
      <protection locked="0"/>
    </xf>
    <xf numFmtId="0" fontId="24" fillId="0" borderId="1" xfId="0" applyFont="1" applyBorder="1" applyAlignment="1" applyProtection="1">
      <alignment horizontal="center" vertical="center" wrapText="1"/>
    </xf>
    <xf numFmtId="0" fontId="25" fillId="0" borderId="18" xfId="0" applyFont="1" applyBorder="1" applyAlignment="1" applyProtection="1">
      <alignment vertical="center" wrapText="1"/>
    </xf>
    <xf numFmtId="0" fontId="4" fillId="0" borderId="9" xfId="0" applyFont="1" applyBorder="1" applyAlignment="1" applyProtection="1">
      <alignment vertical="center" wrapText="1"/>
    </xf>
    <xf numFmtId="0" fontId="0" fillId="0" borderId="3" xfId="0" applyBorder="1" applyAlignment="1" applyProtection="1">
      <alignment vertical="center" wrapText="1"/>
    </xf>
    <xf numFmtId="0" fontId="0" fillId="0" borderId="9" xfId="0" applyBorder="1" applyAlignment="1" applyProtection="1">
      <alignment vertical="center" wrapText="1"/>
    </xf>
    <xf numFmtId="0" fontId="22" fillId="0" borderId="9" xfId="0" applyFont="1" applyBorder="1" applyAlignment="1" applyProtection="1">
      <alignment vertical="center" wrapText="1"/>
    </xf>
    <xf numFmtId="0" fontId="25" fillId="0" borderId="9"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25" fillId="0" borderId="9" xfId="0" applyFont="1" applyBorder="1" applyAlignment="1" applyProtection="1">
      <alignment vertical="center" wrapText="1"/>
    </xf>
    <xf numFmtId="0" fontId="4" fillId="0" borderId="22"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8" xfId="0" applyBorder="1" applyAlignment="1" applyProtection="1">
      <alignment horizontal="left" vertical="center" wrapText="1"/>
    </xf>
    <xf numFmtId="0" fontId="0" fillId="0" borderId="22" xfId="0" applyBorder="1" applyAlignment="1" applyProtection="1">
      <alignment horizontal="left" vertical="center" wrapText="1"/>
    </xf>
    <xf numFmtId="0" fontId="22" fillId="0" borderId="3"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25" fillId="0" borderId="1" xfId="0" applyFont="1" applyBorder="1" applyAlignment="1" applyProtection="1">
      <alignment vertical="center" wrapText="1"/>
    </xf>
    <xf numFmtId="0" fontId="0" fillId="0" borderId="4" xfId="0" applyBorder="1" applyAlignment="1" applyProtection="1">
      <alignment vertical="center" wrapText="1"/>
    </xf>
    <xf numFmtId="0" fontId="31" fillId="0" borderId="3" xfId="0" applyFont="1" applyBorder="1" applyAlignment="1" applyProtection="1">
      <alignment vertical="center"/>
    </xf>
    <xf numFmtId="0" fontId="24" fillId="0" borderId="3" xfId="0" applyFont="1" applyBorder="1" applyAlignment="1" applyProtection="1">
      <alignment vertical="center" wrapText="1"/>
    </xf>
    <xf numFmtId="0" fontId="0" fillId="0" borderId="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8" xfId="0" applyBorder="1" applyAlignment="1" applyProtection="1">
      <alignment horizontal="center" vertical="center" wrapText="1"/>
    </xf>
    <xf numFmtId="0" fontId="24" fillId="0" borderId="9" xfId="0" applyFont="1"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3" xfId="0" applyFill="1" applyBorder="1" applyAlignment="1" applyProtection="1">
      <alignment horizontal="center" vertical="center" wrapText="1"/>
    </xf>
    <xf numFmtId="0" fontId="22" fillId="0" borderId="3" xfId="0" applyFont="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49" fontId="24" fillId="0" borderId="17" xfId="0" applyNumberFormat="1" applyFont="1" applyBorder="1" applyAlignment="1">
      <alignment horizontal="center" vertical="center" wrapText="1"/>
    </xf>
    <xf numFmtId="0" fontId="0" fillId="0" borderId="23" xfId="0" applyNumberFormat="1" applyBorder="1" applyAlignment="1">
      <alignment horizontal="left" vertical="center" wrapText="1"/>
    </xf>
    <xf numFmtId="49" fontId="0" fillId="0" borderId="15" xfId="0" applyNumberFormat="1" applyBorder="1" applyAlignment="1">
      <alignment horizontal="left" vertical="center" wrapText="1"/>
    </xf>
    <xf numFmtId="49" fontId="0" fillId="0" borderId="17" xfId="0" applyNumberFormat="1" applyBorder="1" applyAlignment="1">
      <alignment horizontal="left" vertical="center" wrapText="1"/>
    </xf>
    <xf numFmtId="49" fontId="30" fillId="0" borderId="25" xfId="0" applyNumberFormat="1" applyFont="1" applyBorder="1" applyAlignment="1">
      <alignment horizontal="left" vertical="center" wrapText="1"/>
    </xf>
    <xf numFmtId="49" fontId="0" fillId="0" borderId="23" xfId="0" applyNumberFormat="1" applyBorder="1" applyAlignment="1">
      <alignment horizontal="left" vertical="center" wrapText="1"/>
    </xf>
    <xf numFmtId="0" fontId="0" fillId="0" borderId="17" xfId="0" applyBorder="1" applyAlignment="1">
      <alignment vertical="center"/>
    </xf>
    <xf numFmtId="49" fontId="30" fillId="0" borderId="42" xfId="0" applyNumberFormat="1" applyFont="1" applyBorder="1" applyAlignment="1">
      <alignment horizontal="left" vertical="center" wrapText="1"/>
    </xf>
    <xf numFmtId="49" fontId="0" fillId="0" borderId="25" xfId="0" applyNumberFormat="1" applyBorder="1" applyAlignment="1">
      <alignment horizontal="left" vertical="center" wrapText="1"/>
    </xf>
    <xf numFmtId="49" fontId="0" fillId="0" borderId="44" xfId="0" applyNumberFormat="1" applyBorder="1" applyAlignment="1">
      <alignment horizontal="left" vertical="center" wrapText="1"/>
    </xf>
    <xf numFmtId="49" fontId="22" fillId="0" borderId="15" xfId="0" applyNumberFormat="1" applyFont="1" applyBorder="1" applyAlignment="1">
      <alignment horizontal="left" vertical="center" wrapText="1"/>
    </xf>
    <xf numFmtId="0" fontId="0" fillId="0" borderId="0" xfId="0" applyAlignment="1">
      <alignment vertical="center"/>
    </xf>
    <xf numFmtId="0" fontId="0" fillId="0" borderId="17" xfId="0" applyBorder="1" applyAlignment="1">
      <alignment vertical="center" wrapText="1"/>
    </xf>
    <xf numFmtId="0" fontId="22" fillId="0" borderId="3" xfId="0" applyFont="1" applyBorder="1" applyAlignment="1">
      <alignment horizontal="left" vertical="center" wrapText="1"/>
    </xf>
    <xf numFmtId="0" fontId="24" fillId="0" borderId="3" xfId="0" applyFont="1" applyBorder="1" applyAlignment="1">
      <alignment horizontal="center" vertical="center" wrapText="1"/>
    </xf>
    <xf numFmtId="0" fontId="0" fillId="0" borderId="15" xfId="0" applyBorder="1" applyAlignment="1">
      <alignment horizontal="left" vertical="center" wrapText="1"/>
    </xf>
    <xf numFmtId="0" fontId="26" fillId="0" borderId="4" xfId="0" applyFont="1" applyBorder="1" applyAlignment="1">
      <alignment horizontal="center" vertical="center" wrapText="1"/>
    </xf>
    <xf numFmtId="0" fontId="0" fillId="0" borderId="14" xfId="0" applyBorder="1" applyAlignment="1">
      <alignment horizontal="left" vertical="center" wrapText="1"/>
    </xf>
    <xf numFmtId="0" fontId="0" fillId="0" borderId="3" xfId="0" applyBorder="1" applyAlignment="1">
      <alignment horizontal="left" vertical="center" wrapText="1"/>
    </xf>
    <xf numFmtId="0" fontId="23" fillId="0" borderId="3" xfId="0" applyFont="1" applyBorder="1" applyAlignment="1">
      <alignment horizontal="center" vertical="center" wrapText="1"/>
    </xf>
    <xf numFmtId="0" fontId="23" fillId="0" borderId="3" xfId="0" applyFont="1" applyBorder="1" applyAlignment="1">
      <alignment horizontal="center" vertical="center"/>
    </xf>
    <xf numFmtId="0" fontId="0" fillId="0" borderId="14" xfId="0" applyBorder="1" applyAlignment="1">
      <alignment vertical="center"/>
    </xf>
    <xf numFmtId="0" fontId="26" fillId="0" borderId="3" xfId="0" applyFont="1" applyBorder="1" applyAlignment="1">
      <alignment horizontal="center" vertical="center" wrapText="1"/>
    </xf>
    <xf numFmtId="0" fontId="22" fillId="0" borderId="14" xfId="0" applyFont="1" applyBorder="1" applyAlignment="1">
      <alignment horizontal="left" vertical="center" wrapText="1"/>
    </xf>
    <xf numFmtId="0" fontId="23" fillId="0" borderId="4" xfId="0" applyFont="1" applyBorder="1" applyAlignment="1">
      <alignment horizontal="left" vertical="center" wrapText="1"/>
    </xf>
    <xf numFmtId="0" fontId="31" fillId="0" borderId="4" xfId="0" applyFont="1" applyBorder="1" applyAlignment="1">
      <alignment horizontal="left" vertical="center" wrapText="1"/>
    </xf>
    <xf numFmtId="0" fontId="0" fillId="0" borderId="4" xfId="0" applyFont="1" applyBorder="1" applyAlignment="1">
      <alignment horizontal="center" vertical="center" wrapText="1"/>
    </xf>
    <xf numFmtId="0" fontId="22" fillId="0" borderId="4" xfId="0" applyFont="1" applyBorder="1" applyAlignment="1">
      <alignment horizontal="left" vertical="center" wrapText="1"/>
    </xf>
    <xf numFmtId="0" fontId="0" fillId="0" borderId="14" xfId="0" applyNumberFormat="1"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24" fillId="0" borderId="34" xfId="0" applyFont="1" applyBorder="1" applyAlignment="1">
      <alignment horizontal="center" vertical="center"/>
    </xf>
    <xf numFmtId="0" fontId="0" fillId="0" borderId="3" xfId="0" applyFont="1" applyBorder="1" applyAlignment="1">
      <alignment horizontal="center" vertical="center" wrapText="1"/>
    </xf>
    <xf numFmtId="0" fontId="26" fillId="0" borderId="3" xfId="0" applyFont="1" applyFill="1" applyBorder="1" applyAlignment="1">
      <alignment horizontal="center" vertical="center" wrapText="1"/>
    </xf>
    <xf numFmtId="0" fontId="23" fillId="0" borderId="3" xfId="0" applyNumberFormat="1" applyFont="1" applyBorder="1" applyAlignment="1">
      <alignment horizontal="center" vertical="center" wrapText="1"/>
    </xf>
    <xf numFmtId="0" fontId="23" fillId="0" borderId="1"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vertical="center" wrapText="1"/>
    </xf>
    <xf numFmtId="0" fontId="22" fillId="0" borderId="8" xfId="0" applyFont="1" applyBorder="1" applyAlignment="1">
      <alignment horizontal="center" vertical="center" wrapText="1"/>
    </xf>
    <xf numFmtId="0" fontId="22" fillId="0" borderId="3" xfId="0" applyFont="1" applyBorder="1" applyAlignment="1">
      <alignment horizontal="center" vertical="center" wrapText="1"/>
    </xf>
    <xf numFmtId="0" fontId="10"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2" fillId="0" borderId="1" xfId="0" applyFont="1" applyBorder="1" applyAlignment="1">
      <alignment horizontal="center" vertical="center" wrapText="1"/>
    </xf>
    <xf numFmtId="0" fontId="24"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16"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31" fillId="0" borderId="3" xfId="0" applyFont="1" applyBorder="1" applyAlignment="1">
      <alignment horizontal="center" vertical="center" wrapText="1"/>
    </xf>
    <xf numFmtId="0" fontId="4" fillId="0" borderId="8" xfId="0" applyFont="1" applyFill="1" applyBorder="1" applyAlignment="1">
      <alignment horizontal="center" vertical="center" wrapText="1"/>
    </xf>
    <xf numFmtId="0" fontId="0" fillId="0" borderId="16" xfId="0" applyBorder="1" applyAlignment="1">
      <alignment horizontal="center" vertical="center" wrapText="1"/>
    </xf>
    <xf numFmtId="0" fontId="24" fillId="0" borderId="4" xfId="0" applyFont="1" applyBorder="1" applyAlignment="1">
      <alignment horizontal="center" vertical="center" wrapText="1"/>
    </xf>
    <xf numFmtId="0" fontId="0"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4" fillId="0" borderId="34" xfId="0" applyFont="1" applyBorder="1" applyAlignment="1">
      <alignment vertical="center" wrapText="1"/>
    </xf>
    <xf numFmtId="0" fontId="23" fillId="0" borderId="3" xfId="0" applyFont="1" applyBorder="1" applyAlignment="1">
      <alignment horizontal="left" vertical="center" wrapText="1"/>
    </xf>
    <xf numFmtId="0" fontId="0" fillId="0" borderId="10" xfId="0" applyBorder="1" applyAlignment="1">
      <alignment horizontal="left" vertical="center" wrapText="1"/>
    </xf>
    <xf numFmtId="0" fontId="22" fillId="0" borderId="12" xfId="0" applyFont="1" applyBorder="1" applyAlignment="1">
      <alignment horizontal="center" vertical="center" wrapText="1"/>
    </xf>
    <xf numFmtId="0" fontId="0" fillId="0" borderId="12" xfId="0" applyBorder="1" applyAlignment="1">
      <alignment vertical="center" wrapText="1"/>
    </xf>
    <xf numFmtId="0" fontId="22" fillId="0" borderId="6" xfId="0" applyFont="1" applyBorder="1" applyAlignment="1">
      <alignment horizontal="center" vertical="center" wrapText="1"/>
    </xf>
    <xf numFmtId="0" fontId="22" fillId="0" borderId="6" xfId="0" applyFont="1" applyBorder="1" applyAlignment="1">
      <alignment horizontal="left" vertical="center" wrapText="1"/>
    </xf>
    <xf numFmtId="0" fontId="0" fillId="0" borderId="9" xfId="0" applyBorder="1" applyAlignment="1">
      <alignment horizontal="left" vertical="center" wrapText="1"/>
    </xf>
    <xf numFmtId="0" fontId="24" fillId="0" borderId="12" xfId="0" applyFont="1" applyBorder="1" applyAlignment="1">
      <alignment horizontal="center"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6" xfId="0" applyBorder="1" applyAlignment="1">
      <alignment vertical="center" wrapText="1"/>
    </xf>
    <xf numFmtId="0" fontId="22" fillId="0" borderId="3" xfId="0" applyFont="1" applyBorder="1" applyAlignment="1">
      <alignment vertical="center" wrapText="1"/>
    </xf>
    <xf numFmtId="0" fontId="0" fillId="0" borderId="6" xfId="0" applyBorder="1" applyAlignment="1">
      <alignment horizontal="left" vertical="center" wrapText="1"/>
    </xf>
    <xf numFmtId="0" fontId="22" fillId="0" borderId="10" xfId="0" applyFont="1" applyBorder="1" applyAlignment="1">
      <alignment horizontal="center" vertical="center" wrapText="1"/>
    </xf>
    <xf numFmtId="0" fontId="23" fillId="0" borderId="1" xfId="0" applyFont="1" applyBorder="1" applyAlignment="1">
      <alignment horizontal="left" vertical="center" wrapText="1"/>
    </xf>
    <xf numFmtId="0" fontId="24"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4" xfId="0" applyFont="1" applyBorder="1" applyAlignment="1">
      <alignment horizontal="left" vertical="center" wrapText="1"/>
    </xf>
    <xf numFmtId="49" fontId="24" fillId="0" borderId="34" xfId="0" applyNumberFormat="1" applyFont="1" applyBorder="1" applyAlignment="1">
      <alignment horizontal="center" vertical="center" wrapText="1"/>
    </xf>
    <xf numFmtId="49" fontId="0" fillId="0" borderId="14" xfId="0" applyNumberFormat="1" applyBorder="1" applyAlignment="1">
      <alignment horizontal="center" vertical="center" wrapText="1"/>
    </xf>
    <xf numFmtId="0" fontId="0" fillId="0" borderId="17" xfId="0" applyBorder="1" applyAlignment="1">
      <alignment horizontal="left" vertical="center" wrapText="1"/>
    </xf>
    <xf numFmtId="0" fontId="22" fillId="0" borderId="38" xfId="0" applyFont="1" applyBorder="1" applyAlignment="1">
      <alignment horizontal="center" vertical="center" wrapText="1"/>
    </xf>
    <xf numFmtId="0" fontId="0" fillId="0" borderId="38" xfId="0" applyBorder="1" applyAlignment="1">
      <alignment vertical="center" wrapText="1"/>
    </xf>
    <xf numFmtId="0" fontId="22" fillId="0" borderId="39" xfId="0" applyFont="1" applyBorder="1" applyAlignment="1">
      <alignment horizontal="center" vertical="center" wrapText="1"/>
    </xf>
    <xf numFmtId="0" fontId="22" fillId="0" borderId="14" xfId="0" applyFont="1" applyBorder="1" applyAlignment="1">
      <alignment horizontal="center" vertical="center" wrapText="1"/>
    </xf>
    <xf numFmtId="0" fontId="23" fillId="0" borderId="14" xfId="0" applyFont="1" applyBorder="1" applyAlignment="1">
      <alignment horizontal="center" vertical="center" wrapText="1"/>
    </xf>
    <xf numFmtId="0" fontId="22" fillId="0" borderId="14" xfId="0" applyFont="1" applyFill="1" applyBorder="1" applyAlignment="1">
      <alignment horizontal="center" vertical="center" wrapText="1"/>
    </xf>
    <xf numFmtId="0" fontId="0" fillId="0" borderId="14" xfId="0" applyFont="1" applyBorder="1" applyAlignment="1">
      <alignment vertical="center"/>
    </xf>
    <xf numFmtId="49" fontId="22" fillId="0" borderId="14" xfId="0" applyNumberFormat="1" applyFont="1" applyBorder="1" applyAlignment="1">
      <alignment horizontal="left" vertical="center" wrapText="1"/>
    </xf>
    <xf numFmtId="49" fontId="0" fillId="0" borderId="15" xfId="0" applyNumberFormat="1" applyBorder="1" applyAlignment="1">
      <alignment horizontal="center" vertical="center" wrapText="1"/>
    </xf>
    <xf numFmtId="49" fontId="22" fillId="0" borderId="32" xfId="0" applyNumberFormat="1" applyFont="1" applyBorder="1" applyAlignment="1">
      <alignment horizontal="left" vertical="center" wrapText="1"/>
    </xf>
    <xf numFmtId="0" fontId="22" fillId="0" borderId="17" xfId="0" applyFont="1" applyBorder="1" applyAlignment="1">
      <alignment horizontal="center" vertical="center" wrapText="1"/>
    </xf>
    <xf numFmtId="0" fontId="24" fillId="0" borderId="38" xfId="0" applyFont="1" applyBorder="1" applyAlignment="1">
      <alignment horizontal="center" vertical="center" wrapText="1"/>
    </xf>
    <xf numFmtId="0" fontId="22" fillId="0" borderId="39" xfId="0" applyFont="1" applyBorder="1" applyAlignment="1">
      <alignment horizontal="left" vertical="center" wrapText="1"/>
    </xf>
    <xf numFmtId="0" fontId="0" fillId="0" borderId="40" xfId="0" applyBorder="1" applyAlignment="1">
      <alignment vertical="center" wrapText="1"/>
    </xf>
    <xf numFmtId="0" fontId="0" fillId="0" borderId="47" xfId="0" applyBorder="1" applyAlignment="1">
      <alignment vertical="center" wrapText="1"/>
    </xf>
    <xf numFmtId="0" fontId="0" fillId="0" borderId="39" xfId="0" applyBorder="1" applyAlignment="1">
      <alignment vertical="center" wrapText="1"/>
    </xf>
    <xf numFmtId="0" fontId="0" fillId="0" borderId="14" xfId="0" applyBorder="1" applyAlignment="1">
      <alignment vertical="center" wrapText="1"/>
    </xf>
    <xf numFmtId="49" fontId="0" fillId="0" borderId="39" xfId="0" applyNumberFormat="1" applyBorder="1" applyAlignment="1">
      <alignment horizontal="center" vertical="center" wrapText="1"/>
    </xf>
    <xf numFmtId="0" fontId="0" fillId="0" borderId="40" xfId="0" applyBorder="1" applyAlignment="1">
      <alignment horizontal="center" vertical="center" wrapText="1"/>
    </xf>
    <xf numFmtId="49" fontId="0" fillId="0" borderId="17" xfId="0" applyNumberFormat="1" applyBorder="1" applyAlignment="1">
      <alignment horizontal="center" vertical="center" wrapText="1"/>
    </xf>
    <xf numFmtId="0" fontId="22" fillId="0" borderId="32" xfId="0" applyFont="1"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4" fillId="0" borderId="10" xfId="0" applyFont="1" applyBorder="1" applyAlignment="1" applyProtection="1">
      <alignment horizontal="center" vertical="top" wrapText="1"/>
    </xf>
    <xf numFmtId="0" fontId="25" fillId="0" borderId="16" xfId="0" applyFont="1" applyBorder="1" applyAlignment="1" applyProtection="1">
      <alignment horizontal="center" vertical="top" wrapText="1"/>
    </xf>
    <xf numFmtId="0" fontId="25" fillId="0" borderId="28" xfId="0" applyFont="1" applyBorder="1" applyAlignment="1" applyProtection="1">
      <alignment horizontal="center" vertical="top" wrapText="1"/>
    </xf>
    <xf numFmtId="0" fontId="25" fillId="0" borderId="5" xfId="0" applyFont="1" applyBorder="1" applyAlignment="1" applyProtection="1">
      <alignment horizontal="center"/>
    </xf>
    <xf numFmtId="0" fontId="25" fillId="0" borderId="26" xfId="0" applyFont="1" applyBorder="1" applyAlignment="1" applyProtection="1">
      <alignment horizontal="center"/>
    </xf>
    <xf numFmtId="0" fontId="25" fillId="0" borderId="27" xfId="0" applyFont="1" applyBorder="1" applyAlignment="1" applyProtection="1">
      <alignment horizontal="center"/>
    </xf>
    <xf numFmtId="0" fontId="22" fillId="0" borderId="5" xfId="0" applyFont="1" applyBorder="1" applyAlignment="1" applyProtection="1">
      <alignment horizontal="center"/>
    </xf>
    <xf numFmtId="0" fontId="22" fillId="0" borderId="26" xfId="0" applyFont="1" applyBorder="1" applyAlignment="1" applyProtection="1">
      <alignment horizontal="center"/>
    </xf>
    <xf numFmtId="0" fontId="22" fillId="0" borderId="27" xfId="0" applyFont="1" applyBorder="1" applyAlignment="1" applyProtection="1">
      <alignment horizontal="center"/>
    </xf>
    <xf numFmtId="0" fontId="24" fillId="0" borderId="29" xfId="0" applyFont="1" applyBorder="1" applyAlignment="1">
      <alignment horizontal="center" wrapText="1"/>
    </xf>
    <xf numFmtId="0" fontId="24" fillId="0" borderId="30" xfId="0" applyFont="1" applyBorder="1" applyAlignment="1">
      <alignment horizontal="center" wrapText="1"/>
    </xf>
    <xf numFmtId="0" fontId="24" fillId="0" borderId="31" xfId="0" applyFont="1" applyBorder="1" applyAlignment="1">
      <alignment horizontal="center" wrapText="1"/>
    </xf>
    <xf numFmtId="0" fontId="22" fillId="0" borderId="5" xfId="0" applyFont="1" applyBorder="1" applyAlignment="1">
      <alignment horizontal="center" vertical="top" wrapText="1"/>
    </xf>
    <xf numFmtId="0" fontId="22" fillId="0" borderId="26" xfId="0" applyFont="1" applyBorder="1" applyAlignment="1">
      <alignment horizontal="center" vertical="top" wrapText="1"/>
    </xf>
    <xf numFmtId="0" fontId="22" fillId="0" borderId="46" xfId="0" applyFont="1" applyBorder="1" applyAlignment="1">
      <alignment horizontal="center" vertical="top" wrapText="1"/>
    </xf>
    <xf numFmtId="0" fontId="22" fillId="0" borderId="6" xfId="0" applyFont="1" applyBorder="1" applyAlignment="1">
      <alignment horizontal="center" vertical="top" wrapText="1"/>
    </xf>
    <xf numFmtId="0" fontId="0" fillId="0" borderId="8" xfId="0" applyBorder="1" applyAlignment="1">
      <alignment horizontal="center" vertical="top" wrapText="1"/>
    </xf>
    <xf numFmtId="0" fontId="0" fillId="0" borderId="39" xfId="0" applyBorder="1" applyAlignment="1">
      <alignment horizontal="center" vertical="top" wrapText="1"/>
    </xf>
    <xf numFmtId="0" fontId="22" fillId="0" borderId="8" xfId="0" applyFont="1" applyBorder="1" applyAlignment="1">
      <alignment horizontal="center" vertical="top" wrapText="1"/>
    </xf>
    <xf numFmtId="0" fontId="22" fillId="0" borderId="39" xfId="0" applyFont="1" applyBorder="1" applyAlignment="1">
      <alignment horizontal="center" vertical="top" wrapText="1"/>
    </xf>
    <xf numFmtId="0" fontId="0" fillId="0" borderId="6" xfId="0" applyBorder="1" applyAlignment="1">
      <alignment horizontal="center" vertical="top" wrapText="1"/>
    </xf>
    <xf numFmtId="0" fontId="23" fillId="0" borderId="6" xfId="0" applyFont="1" applyBorder="1" applyAlignment="1">
      <alignment horizontal="center" vertical="top" wrapText="1"/>
    </xf>
    <xf numFmtId="0" fontId="23" fillId="0" borderId="8" xfId="0" applyFont="1" applyBorder="1" applyAlignment="1">
      <alignment horizontal="center" vertical="top" wrapText="1"/>
    </xf>
    <xf numFmtId="0" fontId="23" fillId="0" borderId="39" xfId="0" applyFont="1" applyBorder="1" applyAlignment="1">
      <alignment horizontal="center" vertical="top" wrapText="1"/>
    </xf>
    <xf numFmtId="0" fontId="24"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8" xfId="0" applyBorder="1" applyAlignment="1">
      <alignment horizontal="center" wrapText="1"/>
    </xf>
    <xf numFmtId="0" fontId="0" fillId="0" borderId="39" xfId="0" applyBorder="1" applyAlignment="1">
      <alignment horizontal="center" wrapText="1"/>
    </xf>
    <xf numFmtId="0" fontId="0" fillId="0" borderId="9" xfId="0" applyFont="1" applyBorder="1" applyAlignment="1">
      <alignment horizontal="center" vertical="center"/>
    </xf>
    <xf numFmtId="0" fontId="0" fillId="0" borderId="45" xfId="0" applyBorder="1" applyAlignment="1">
      <alignment vertical="center" wrapText="1"/>
    </xf>
    <xf numFmtId="0" fontId="30" fillId="0" borderId="6" xfId="0" applyFont="1" applyBorder="1" applyAlignment="1">
      <alignment horizontal="center" vertical="top" wrapText="1"/>
    </xf>
    <xf numFmtId="0" fontId="30" fillId="0" borderId="15" xfId="0" applyFont="1" applyBorder="1" applyAlignment="1">
      <alignment horizontal="left" vertical="center" wrapText="1"/>
    </xf>
    <xf numFmtId="0" fontId="0" fillId="0" borderId="8" xfId="0" applyBorder="1" applyAlignment="1">
      <alignment horizontal="center" vertical="center" wrapText="1"/>
    </xf>
    <xf numFmtId="0" fontId="0" fillId="0" borderId="39"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idgell/Documents/ME/FP4/Documentation/IWB/ME622_1120_FP4_Dec15SP_IWB_GA_v1_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idgell/Documents/ME/FP4/Documentation/IWB/ME622_1120_FP4_Mar16SP_IWB_GA_v1_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nfiguration Data"/>
      <sheetName val=" Downloads "/>
      <sheetName val="Configure Media Gateway"/>
      <sheetName val="Configure ME - Pre-Staged SW"/>
      <sheetName val="Install SP - No Pre-Staged SW"/>
      <sheetName val="Upgrade SVM Template"/>
      <sheetName val="Install ME Template"/>
      <sheetName val="Configure SAL Access"/>
      <sheetName val="License the System (PLDS)"/>
      <sheetName val="Apply Application Updates"/>
      <sheetName val="Configure System Manager"/>
      <sheetName val="Configure Communication Manager"/>
      <sheetName val="Configure Presence Server"/>
      <sheetName val="Configure High Availability"/>
      <sheetName val="Import ABIT users (optional)"/>
      <sheetName val="Configure Series-1000 User"/>
      <sheetName val="Configure ADVD User"/>
      <sheetName val="Configure 1XC SIP User"/>
      <sheetName val="Configure AAC6.0SE Integration "/>
      <sheetName val="Review Notes"/>
    </sheetNames>
    <sheetDataSet>
      <sheetData sheetId="0"/>
      <sheetData sheetId="1">
        <row r="122">
          <cell r="B122" t="str">
            <v>CMME0000180</v>
          </cell>
        </row>
        <row r="123">
          <cell r="B123" t="str">
            <v>poodle_sp_svm.zip</v>
          </cell>
        </row>
        <row r="196">
          <cell r="B196" t="str">
            <v>CMME0000204</v>
          </cell>
        </row>
        <row r="199">
          <cell r="B199" t="str">
            <v>CMME0000205</v>
          </cell>
        </row>
        <row r="202">
          <cell r="B202" t="str">
            <v>CMME0000206</v>
          </cell>
        </row>
        <row r="219">
          <cell r="B219" t="str">
            <v>CMME0000210</v>
          </cell>
        </row>
        <row r="220">
          <cell r="B220" t="str">
            <v>System_Manager_6.3.16_Patch1_r5314342.bin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nfiguration Data"/>
      <sheetName val=" Downloads "/>
      <sheetName val="Configure Media Gateway"/>
      <sheetName val="Configure ME - Pre-Staged SW"/>
      <sheetName val="Install SP - No Pre-Staged SW"/>
      <sheetName val="Upgrade SVM Template"/>
      <sheetName val="Install ME Template"/>
      <sheetName val="Configure SAL Access"/>
      <sheetName val="License the System (PLDS)"/>
      <sheetName val="Apply Application Updates"/>
      <sheetName val="Configure System Manager"/>
      <sheetName val="Configure Communication Manager"/>
      <sheetName val="Configure Presence Server"/>
      <sheetName val="Configure High Availability"/>
      <sheetName val="Import ABIT users (optional)"/>
      <sheetName val="Configure Series-1000 User"/>
      <sheetName val="Configure ADVD User"/>
      <sheetName val="Configure 1XC SIP User"/>
      <sheetName val="Configure AAC SE Integration "/>
      <sheetName val="Review Notes"/>
    </sheetNames>
    <sheetDataSet>
      <sheetData sheetId="0"/>
      <sheetData sheetId="1">
        <row r="117">
          <cell r="B117" t="str">
            <v>vsp-6.3.7.0.05001.iso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pport.avaya.com/css/P8/documents/100173647"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rfa.avaya.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messaging@(=SIPDOMAIN)" TargetMode="External"/><Relationship Id="rId1" Type="http://schemas.openxmlformats.org/officeDocument/2006/relationships/hyperlink" Target="mailto:messaging@(=SIPDOMAI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upport.avaya.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plds.avaya.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upport.avay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61"/>
  <sheetViews>
    <sheetView tabSelected="1" workbookViewId="0">
      <selection activeCell="A3" sqref="A3"/>
    </sheetView>
  </sheetViews>
  <sheetFormatPr defaultRowHeight="15" x14ac:dyDescent="0.25"/>
  <cols>
    <col min="1" max="1" width="148.7109375" customWidth="1"/>
    <col min="2" max="3" width="9.140625" style="1" customWidth="1"/>
    <col min="7" max="7" width="9.140625" customWidth="1"/>
  </cols>
  <sheetData>
    <row r="1" spans="1:3" ht="53.25" thickBot="1" x14ac:dyDescent="0.45">
      <c r="A1" s="148" t="str">
        <f>CONCATENATE("Avaya Aura® Solution for Midsize Enterprise 6.2.2.1 with 
Avaya Aura® 6.2 Feature Pack 4 March 2016 Updates Intelligent Workbook - GA")</f>
        <v>Avaya Aura® Solution for Midsize Enterprise 6.2.2.1 with 
Avaya Aura® 6.2 Feature Pack 4 March 2016 Updates Intelligent Workbook - GA</v>
      </c>
    </row>
    <row r="2" spans="1:3" ht="64.5" thickTop="1" thickBot="1" x14ac:dyDescent="0.4">
      <c r="A2" s="366" t="str">
        <f>CONCATENATE("Revision Date:  7th June 2016
Template Version: ", ME_VER, "
Workbook Version: 1.3")</f>
        <v>Revision Date:  7th June 2016
Template Version: 6.2.2.1.2120
Workbook Version: 1.3</v>
      </c>
    </row>
    <row r="3" spans="1:3" ht="27.75" thickTop="1" thickBot="1" x14ac:dyDescent="0.45">
      <c r="A3" s="150" t="s">
        <v>351</v>
      </c>
    </row>
    <row r="4" spans="1:3" ht="102.75" customHeight="1" thickTop="1" x14ac:dyDescent="0.25">
      <c r="A4" s="149" t="s">
        <v>1668</v>
      </c>
      <c r="B4" s="100"/>
      <c r="C4" s="101"/>
    </row>
    <row r="5" spans="1:3" ht="72.75" customHeight="1" x14ac:dyDescent="0.25">
      <c r="A5" s="103" t="s">
        <v>1137</v>
      </c>
      <c r="B5" s="100"/>
      <c r="C5" s="101"/>
    </row>
    <row r="6" spans="1:3" ht="39" customHeight="1" x14ac:dyDescent="0.25">
      <c r="A6" s="103" t="s">
        <v>1258</v>
      </c>
      <c r="B6" s="102"/>
      <c r="C6" s="97"/>
    </row>
    <row r="7" spans="1:3" ht="47.25" x14ac:dyDescent="0.25">
      <c r="A7" s="103" t="s">
        <v>634</v>
      </c>
      <c r="B7" s="100"/>
      <c r="C7" s="101"/>
    </row>
    <row r="8" spans="1:3" ht="49.5" customHeight="1" x14ac:dyDescent="0.25">
      <c r="A8" s="103" t="s">
        <v>1669</v>
      </c>
      <c r="B8" s="102"/>
      <c r="C8" s="97"/>
    </row>
    <row r="9" spans="1:3" ht="49.5" customHeight="1" x14ac:dyDescent="0.25">
      <c r="A9" s="103" t="s">
        <v>1051</v>
      </c>
      <c r="B9" s="102"/>
      <c r="C9" s="97"/>
    </row>
    <row r="10" spans="1:3" ht="35.25" customHeight="1" x14ac:dyDescent="0.25">
      <c r="A10" s="222" t="s">
        <v>991</v>
      </c>
      <c r="B10" s="100"/>
      <c r="C10" s="101"/>
    </row>
    <row r="11" spans="1:3" ht="110.25" x14ac:dyDescent="0.25">
      <c r="A11" s="103" t="str">
        <f>CONCATENATE("NOTE: Servers shipped from the factory will have the following Avaya Aura® System Platform version pre-installed (using factory default IP Addresses, Domain Name, etc.):
    1. HP Proliant® DL360 G7: ", SP_VER,"
    2. HP Proliant® DL360p G8: ",SP_FP4_ISO_Update,"
The factory will also pre-stage the ME template ready to be configured on site. ", " The software installation instructions in this workbook are different depending on whether you are working with one of these pre-staged servers or a server ", "which is to be installed from scratch.  Make sure that you follow the correct instructions for your particular installation!")</f>
        <v>NOTE: Servers shipped from the factory will have the following Avaya Aura® System Platform version pre-installed (using factory default IP Addresses, Domain Name, etc.):
    1. HP Proliant® DL360 G7: 6.3.0.0.18002
    2. HP Proliant® DL360p G8: 6.3.7.0.05001
The factory will also pre-stage the ME template ready to be configured on site.  The software installation instructions in this workbook are different depending on whether you are working with one of these pre-staged servers or a server which is to be installed from scratch.  Make sure that you follow the correct instructions for your particular installation!</v>
      </c>
      <c r="B11" s="100"/>
      <c r="C11" s="101"/>
    </row>
    <row r="12" spans="1:3" ht="31.5" x14ac:dyDescent="0.25">
      <c r="A12" s="224" t="s">
        <v>1536</v>
      </c>
      <c r="B12" s="97"/>
      <c r="C12" s="97"/>
    </row>
    <row r="13" spans="1:3" ht="30.75" customHeight="1" x14ac:dyDescent="0.25">
      <c r="A13" s="103" t="str">
        <f>CONCATENATE("NOTE: ME Template ", ME_VER, ".iso DVD images are now available for download in PLDS.", " The PLDS Download IDs for these images as well as the PLDS Download ID for the ME Template Standalone Installation Wizard are provided on the Configuration Data worksheet.")</f>
        <v>NOTE: ME Template 6.2.2.1.2120.iso DVD images are now available for download in PLDS. The PLDS Download IDs for these images as well as the PLDS Download ID for the ME Template Standalone Installation Wizard are provided on the Configuration Data worksheet.</v>
      </c>
      <c r="B13" s="97"/>
      <c r="C13" s="97"/>
    </row>
    <row r="14" spans="1:3" ht="47.25" x14ac:dyDescent="0.25">
      <c r="A14" s="345" t="s">
        <v>1541</v>
      </c>
      <c r="B14" s="97"/>
      <c r="C14" s="97"/>
    </row>
    <row r="15" spans="1:3" ht="30" x14ac:dyDescent="0.25">
      <c r="A15" s="346" t="s">
        <v>1540</v>
      </c>
      <c r="B15" s="97"/>
      <c r="C15" s="97"/>
    </row>
    <row r="16" spans="1:3" ht="15.75" x14ac:dyDescent="0.25">
      <c r="A16" s="223" t="s">
        <v>638</v>
      </c>
      <c r="B16" s="97"/>
      <c r="C16" s="97"/>
    </row>
    <row r="17" spans="1:3" x14ac:dyDescent="0.25">
      <c r="A17" s="98"/>
      <c r="B17" s="97"/>
      <c r="C17" s="97"/>
    </row>
    <row r="18" spans="1:3" x14ac:dyDescent="0.25">
      <c r="A18" s="98"/>
      <c r="B18" s="97"/>
      <c r="C18" s="97"/>
    </row>
    <row r="19" spans="1:3" x14ac:dyDescent="0.25">
      <c r="A19" s="98"/>
      <c r="B19" s="97"/>
      <c r="C19" s="97"/>
    </row>
    <row r="20" spans="1:3" x14ac:dyDescent="0.25">
      <c r="A20" s="98"/>
      <c r="B20" s="97"/>
      <c r="C20" s="97"/>
    </row>
    <row r="21" spans="1:3" x14ac:dyDescent="0.25">
      <c r="A21" s="98"/>
      <c r="B21" s="97"/>
      <c r="C21" s="97"/>
    </row>
    <row r="22" spans="1:3" x14ac:dyDescent="0.25">
      <c r="A22" s="98"/>
      <c r="B22" s="97"/>
      <c r="C22" s="97"/>
    </row>
    <row r="23" spans="1:3" x14ac:dyDescent="0.25">
      <c r="A23" s="98"/>
      <c r="B23" s="97"/>
      <c r="C23" s="97"/>
    </row>
    <row r="24" spans="1:3" x14ac:dyDescent="0.25">
      <c r="A24" s="98"/>
      <c r="B24" s="97"/>
      <c r="C24" s="97"/>
    </row>
    <row r="25" spans="1:3" x14ac:dyDescent="0.25">
      <c r="A25" s="98"/>
      <c r="B25" s="97"/>
      <c r="C25" s="97"/>
    </row>
    <row r="26" spans="1:3" x14ac:dyDescent="0.25">
      <c r="A26" s="98"/>
      <c r="B26" s="97"/>
      <c r="C26" s="97"/>
    </row>
    <row r="27" spans="1:3" x14ac:dyDescent="0.25">
      <c r="A27" s="98"/>
      <c r="B27" s="97"/>
      <c r="C27" s="97"/>
    </row>
    <row r="28" spans="1:3" x14ac:dyDescent="0.25">
      <c r="A28" s="98"/>
      <c r="B28" s="97"/>
      <c r="C28" s="97"/>
    </row>
    <row r="29" spans="1:3" x14ac:dyDescent="0.25">
      <c r="A29" s="98"/>
      <c r="B29" s="97"/>
      <c r="C29" s="97"/>
    </row>
    <row r="30" spans="1:3" x14ac:dyDescent="0.25">
      <c r="A30" s="99"/>
      <c r="B30" s="97"/>
      <c r="C30" s="97"/>
    </row>
    <row r="31" spans="1:3" x14ac:dyDescent="0.25">
      <c r="A31" s="99"/>
      <c r="B31" s="97"/>
      <c r="C31" s="97"/>
    </row>
    <row r="32" spans="1:3" x14ac:dyDescent="0.25">
      <c r="A32" s="99"/>
      <c r="B32" s="97"/>
      <c r="C32" s="97"/>
    </row>
    <row r="33" spans="1:3" x14ac:dyDescent="0.25">
      <c r="A33" s="99"/>
      <c r="B33" s="97"/>
      <c r="C33" s="97"/>
    </row>
    <row r="34" spans="1:3" x14ac:dyDescent="0.25">
      <c r="A34" s="99"/>
      <c r="B34" s="97"/>
      <c r="C34" s="97"/>
    </row>
    <row r="35" spans="1:3" x14ac:dyDescent="0.25">
      <c r="A35" s="99"/>
      <c r="B35" s="97"/>
      <c r="C35" s="97"/>
    </row>
    <row r="36" spans="1:3" x14ac:dyDescent="0.25">
      <c r="A36" s="99"/>
      <c r="B36" s="97"/>
      <c r="C36" s="97"/>
    </row>
    <row r="37" spans="1:3" x14ac:dyDescent="0.25">
      <c r="A37" s="99"/>
      <c r="B37" s="97"/>
      <c r="C37" s="97"/>
    </row>
    <row r="38" spans="1:3" x14ac:dyDescent="0.25">
      <c r="A38" s="99"/>
      <c r="B38" s="97"/>
      <c r="C38" s="97"/>
    </row>
    <row r="39" spans="1:3" x14ac:dyDescent="0.25">
      <c r="A39" s="97"/>
      <c r="B39" s="97"/>
      <c r="C39" s="97"/>
    </row>
    <row r="40" spans="1:3" x14ac:dyDescent="0.25">
      <c r="A40" s="97"/>
      <c r="B40" s="97"/>
      <c r="C40" s="97"/>
    </row>
    <row r="41" spans="1:3" x14ac:dyDescent="0.25">
      <c r="A41" s="97"/>
      <c r="B41" s="97"/>
      <c r="C41" s="97"/>
    </row>
    <row r="42" spans="1:3" x14ac:dyDescent="0.25">
      <c r="A42" s="97"/>
      <c r="B42" s="97"/>
      <c r="C42" s="97"/>
    </row>
    <row r="43" spans="1:3" x14ac:dyDescent="0.25">
      <c r="A43" s="97"/>
      <c r="B43" s="97"/>
      <c r="C43" s="97"/>
    </row>
    <row r="44" spans="1:3" x14ac:dyDescent="0.25">
      <c r="A44" s="97"/>
      <c r="B44" s="97"/>
      <c r="C44" s="97"/>
    </row>
    <row r="45" spans="1:3" x14ac:dyDescent="0.25">
      <c r="A45" s="97"/>
      <c r="B45" s="97"/>
      <c r="C45" s="97"/>
    </row>
    <row r="46" spans="1:3" x14ac:dyDescent="0.25">
      <c r="A46" s="97"/>
      <c r="B46" s="97"/>
      <c r="C46" s="97"/>
    </row>
    <row r="47" spans="1:3" x14ac:dyDescent="0.25">
      <c r="A47" s="97"/>
      <c r="B47" s="97"/>
      <c r="C47" s="97"/>
    </row>
    <row r="48" spans="1:3" x14ac:dyDescent="0.25">
      <c r="A48" s="97"/>
      <c r="B48" s="97"/>
      <c r="C48" s="97"/>
    </row>
    <row r="49" spans="1:3" x14ac:dyDescent="0.25">
      <c r="A49" s="97"/>
      <c r="B49" s="97"/>
      <c r="C49" s="97"/>
    </row>
    <row r="50" spans="1:3" x14ac:dyDescent="0.25">
      <c r="A50" s="97"/>
      <c r="B50" s="97"/>
      <c r="C50" s="97"/>
    </row>
    <row r="51" spans="1:3" x14ac:dyDescent="0.25">
      <c r="A51" s="97"/>
      <c r="B51" s="97"/>
      <c r="C51" s="97"/>
    </row>
    <row r="52" spans="1:3" x14ac:dyDescent="0.25">
      <c r="A52" s="97"/>
      <c r="B52" s="97"/>
      <c r="C52" s="97"/>
    </row>
    <row r="53" spans="1:3" x14ac:dyDescent="0.25">
      <c r="A53" s="97"/>
      <c r="B53" s="97"/>
      <c r="C53" s="97"/>
    </row>
    <row r="54" spans="1:3" x14ac:dyDescent="0.25">
      <c r="A54" s="97"/>
      <c r="B54" s="97"/>
      <c r="C54" s="97"/>
    </row>
    <row r="55" spans="1:3" x14ac:dyDescent="0.25">
      <c r="A55" s="97"/>
      <c r="B55" s="97"/>
      <c r="C55" s="97"/>
    </row>
    <row r="56" spans="1:3" x14ac:dyDescent="0.25">
      <c r="A56" s="97"/>
      <c r="B56" s="97"/>
      <c r="C56" s="97"/>
    </row>
    <row r="57" spans="1:3" x14ac:dyDescent="0.25">
      <c r="A57" s="97"/>
      <c r="B57" s="97"/>
      <c r="C57" s="97"/>
    </row>
    <row r="58" spans="1:3" x14ac:dyDescent="0.25">
      <c r="A58" s="97"/>
      <c r="B58" s="97"/>
      <c r="C58" s="97"/>
    </row>
    <row r="59" spans="1:3" x14ac:dyDescent="0.25">
      <c r="A59" s="97"/>
      <c r="B59" s="97"/>
      <c r="C59" s="97"/>
    </row>
    <row r="60" spans="1:3" x14ac:dyDescent="0.25">
      <c r="A60" s="97"/>
    </row>
    <row r="61" spans="1:3" x14ac:dyDescent="0.25">
      <c r="A61" s="97"/>
    </row>
  </sheetData>
  <sheetProtection sheet="1" objects="1" scenarios="1"/>
  <dataConsolidate/>
  <hyperlinks>
    <hyperlink ref="A15" r:id="rId1" display="Implementing Avaya Aura® Solution for Midsize Enterprise (ME) Release 6.2.2"/>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56"/>
  <sheetViews>
    <sheetView workbookViewId="0">
      <pane ySplit="1" topLeftCell="A2" activePane="bottomLeft" state="frozen"/>
      <selection activeCell="C89" sqref="C89"/>
      <selection pane="bottomLeft" activeCell="A7" sqref="A7"/>
    </sheetView>
  </sheetViews>
  <sheetFormatPr defaultRowHeight="15" x14ac:dyDescent="0.25"/>
  <cols>
    <col min="1" max="1" width="66.7109375" customWidth="1"/>
    <col min="2" max="2" width="38.7109375" style="1" customWidth="1"/>
    <col min="3" max="3" width="36.7109375" style="1" customWidth="1"/>
    <col min="4" max="4" width="26.28515625" style="1" customWidth="1"/>
  </cols>
  <sheetData>
    <row r="1" spans="1:4" ht="15.75" thickBot="1" x14ac:dyDescent="0.3">
      <c r="A1" s="238" t="s">
        <v>11</v>
      </c>
      <c r="B1" s="236" t="s">
        <v>3</v>
      </c>
      <c r="C1" s="237" t="s">
        <v>193</v>
      </c>
      <c r="D1" s="236" t="s">
        <v>122</v>
      </c>
    </row>
    <row r="2" spans="1:4" ht="30.75" customHeight="1" thickBot="1" x14ac:dyDescent="0.3">
      <c r="A2" s="597" t="s">
        <v>1523</v>
      </c>
      <c r="B2" s="598"/>
      <c r="C2" s="598"/>
      <c r="D2" s="599"/>
    </row>
    <row r="3" spans="1:4" x14ac:dyDescent="0.25">
      <c r="A3" s="107" t="s">
        <v>619</v>
      </c>
      <c r="B3" s="22"/>
      <c r="C3" s="22"/>
      <c r="D3" s="340"/>
    </row>
    <row r="4" spans="1:4" ht="45" x14ac:dyDescent="0.25">
      <c r="A4" s="17" t="s">
        <v>596</v>
      </c>
      <c r="B4" s="12" t="s">
        <v>219</v>
      </c>
      <c r="C4" s="68" t="str">
        <f>CONCATENATE("http://",SMGRIP,"/SMGR")</f>
        <v>http:///SMGR</v>
      </c>
      <c r="D4" s="72" t="s">
        <v>123</v>
      </c>
    </row>
    <row r="5" spans="1:4" ht="165" x14ac:dyDescent="0.25">
      <c r="A5" s="17" t="s">
        <v>527</v>
      </c>
      <c r="B5" s="12" t="s">
        <v>374</v>
      </c>
      <c r="C5" s="74" t="s">
        <v>375</v>
      </c>
      <c r="D5" s="313" t="s">
        <v>386</v>
      </c>
    </row>
    <row r="6" spans="1:4" x14ac:dyDescent="0.25">
      <c r="A6" s="8" t="s">
        <v>377</v>
      </c>
      <c r="B6" s="30" t="s">
        <v>378</v>
      </c>
      <c r="C6" s="38" t="s">
        <v>41</v>
      </c>
      <c r="D6" s="313"/>
    </row>
    <row r="7" spans="1:4" x14ac:dyDescent="0.25">
      <c r="A7" s="8" t="s">
        <v>379</v>
      </c>
      <c r="B7" s="30" t="s">
        <v>380</v>
      </c>
      <c r="C7" s="38" t="s">
        <v>503</v>
      </c>
      <c r="D7" s="313"/>
    </row>
    <row r="8" spans="1:4" ht="75" x14ac:dyDescent="0.25">
      <c r="A8" s="152" t="s">
        <v>383</v>
      </c>
      <c r="B8" s="37" t="s">
        <v>381</v>
      </c>
      <c r="C8" s="153" t="s">
        <v>382</v>
      </c>
      <c r="D8" s="341" t="s">
        <v>528</v>
      </c>
    </row>
    <row r="9" spans="1:4" x14ac:dyDescent="0.25">
      <c r="A9" s="8" t="s">
        <v>384</v>
      </c>
      <c r="B9" s="30" t="s">
        <v>385</v>
      </c>
      <c r="C9" s="38" t="s">
        <v>382</v>
      </c>
      <c r="D9" s="341"/>
    </row>
    <row r="10" spans="1:4" x14ac:dyDescent="0.25">
      <c r="A10" s="8" t="s">
        <v>218</v>
      </c>
      <c r="B10" s="30" t="s">
        <v>37</v>
      </c>
      <c r="C10" s="38" t="s">
        <v>255</v>
      </c>
      <c r="D10" s="341"/>
    </row>
    <row r="11" spans="1:4" x14ac:dyDescent="0.25">
      <c r="A11" s="8" t="s">
        <v>387</v>
      </c>
      <c r="B11" s="30" t="s">
        <v>388</v>
      </c>
      <c r="C11" s="38" t="s">
        <v>375</v>
      </c>
      <c r="D11" s="341"/>
    </row>
    <row r="12" spans="1:4" ht="30" x14ac:dyDescent="0.25">
      <c r="A12" s="17" t="s">
        <v>477</v>
      </c>
      <c r="B12" s="12" t="s">
        <v>215</v>
      </c>
      <c r="C12" s="12" t="s">
        <v>376</v>
      </c>
      <c r="D12" s="327" t="s">
        <v>532</v>
      </c>
    </row>
    <row r="13" spans="1:4" x14ac:dyDescent="0.25">
      <c r="A13" s="17" t="s">
        <v>478</v>
      </c>
      <c r="B13" s="12" t="s">
        <v>479</v>
      </c>
      <c r="C13" s="12" t="s">
        <v>375</v>
      </c>
      <c r="D13" s="313"/>
    </row>
    <row r="14" spans="1:4" x14ac:dyDescent="0.25">
      <c r="A14" s="24" t="s">
        <v>621</v>
      </c>
      <c r="B14" s="6" t="s">
        <v>622</v>
      </c>
      <c r="C14" s="26" t="s">
        <v>375</v>
      </c>
      <c r="D14" s="342"/>
    </row>
    <row r="15" spans="1:4" ht="30" x14ac:dyDescent="0.25">
      <c r="A15" s="80" t="s">
        <v>623</v>
      </c>
      <c r="B15" s="11"/>
      <c r="C15" s="83"/>
      <c r="D15" s="327" t="s">
        <v>989</v>
      </c>
    </row>
    <row r="16" spans="1:4" x14ac:dyDescent="0.25">
      <c r="A16" s="17"/>
      <c r="B16" s="12"/>
      <c r="C16" s="27"/>
      <c r="D16" s="343"/>
    </row>
    <row r="17" spans="1:4" x14ac:dyDescent="0.25">
      <c r="A17" s="107" t="s">
        <v>473</v>
      </c>
      <c r="B17" s="12"/>
      <c r="C17" s="12"/>
      <c r="D17" s="313"/>
    </row>
    <row r="18" spans="1:4" x14ac:dyDescent="0.25">
      <c r="A18" s="17" t="s">
        <v>475</v>
      </c>
      <c r="B18" s="12" t="s">
        <v>278</v>
      </c>
      <c r="C18" s="12" t="s">
        <v>486</v>
      </c>
      <c r="D18" s="313"/>
    </row>
    <row r="19" spans="1:4" ht="30" x14ac:dyDescent="0.25">
      <c r="A19" s="17" t="s">
        <v>627</v>
      </c>
      <c r="B19" s="12"/>
      <c r="C19" s="12"/>
      <c r="D19" s="313"/>
    </row>
    <row r="20" spans="1:4" x14ac:dyDescent="0.25">
      <c r="A20" s="17" t="s">
        <v>476</v>
      </c>
      <c r="B20" s="12"/>
      <c r="C20" s="12"/>
      <c r="D20" s="313"/>
    </row>
    <row r="21" spans="1:4" x14ac:dyDescent="0.25">
      <c r="A21" s="17"/>
      <c r="B21" s="12"/>
      <c r="C21" s="12"/>
      <c r="D21" s="313"/>
    </row>
    <row r="22" spans="1:4" x14ac:dyDescent="0.25">
      <c r="A22" s="107" t="s">
        <v>526</v>
      </c>
      <c r="B22" s="12"/>
      <c r="C22" s="17"/>
      <c r="D22" s="313"/>
    </row>
    <row r="23" spans="1:4" x14ac:dyDescent="0.25">
      <c r="A23" s="17" t="s">
        <v>620</v>
      </c>
      <c r="B23" s="12" t="s">
        <v>278</v>
      </c>
      <c r="C23" s="71" t="str">
        <f>CONCATENATE("https://",SMGRIP,"/SMGR")</f>
        <v>https:///SMGR</v>
      </c>
      <c r="D23" s="313"/>
    </row>
    <row r="24" spans="1:4" ht="30" x14ac:dyDescent="0.25">
      <c r="A24" s="17" t="s">
        <v>477</v>
      </c>
      <c r="B24" s="12" t="s">
        <v>215</v>
      </c>
      <c r="C24" s="12" t="s">
        <v>376</v>
      </c>
      <c r="D24" s="327" t="s">
        <v>532</v>
      </c>
    </row>
    <row r="25" spans="1:4" x14ac:dyDescent="0.25">
      <c r="A25" s="17" t="s">
        <v>478</v>
      </c>
      <c r="B25" s="12" t="s">
        <v>479</v>
      </c>
      <c r="C25" s="12" t="s">
        <v>375</v>
      </c>
      <c r="D25" s="313"/>
    </row>
    <row r="26" spans="1:4" x14ac:dyDescent="0.25">
      <c r="A26" s="17" t="s">
        <v>480</v>
      </c>
      <c r="B26" s="12" t="s">
        <v>481</v>
      </c>
      <c r="C26" s="12" t="s">
        <v>482</v>
      </c>
      <c r="D26" s="313"/>
    </row>
    <row r="27" spans="1:4" ht="30" x14ac:dyDescent="0.25">
      <c r="A27" s="17" t="s">
        <v>483</v>
      </c>
      <c r="B27" s="12" t="s">
        <v>484</v>
      </c>
      <c r="C27" s="12" t="s">
        <v>485</v>
      </c>
      <c r="D27" s="313"/>
    </row>
    <row r="28" spans="1:4" ht="90" x14ac:dyDescent="0.25">
      <c r="A28" s="17" t="s">
        <v>359</v>
      </c>
      <c r="B28" s="12" t="s">
        <v>97</v>
      </c>
      <c r="C28" s="12" t="s">
        <v>309</v>
      </c>
      <c r="D28" s="313" t="s">
        <v>1136</v>
      </c>
    </row>
    <row r="29" spans="1:4" x14ac:dyDescent="0.25">
      <c r="A29" s="17"/>
      <c r="B29" s="12"/>
      <c r="C29" s="12"/>
      <c r="D29" s="313"/>
    </row>
    <row r="30" spans="1:4" x14ac:dyDescent="0.25">
      <c r="A30" s="107" t="s">
        <v>599</v>
      </c>
      <c r="B30" s="12"/>
      <c r="C30" s="12"/>
      <c r="D30" s="313"/>
    </row>
    <row r="31" spans="1:4" x14ac:dyDescent="0.25">
      <c r="A31" s="93" t="s">
        <v>600</v>
      </c>
      <c r="B31" s="12"/>
      <c r="C31" s="178" t="s">
        <v>602</v>
      </c>
      <c r="D31" s="313"/>
    </row>
    <row r="32" spans="1:4" x14ac:dyDescent="0.25">
      <c r="A32" s="93" t="s">
        <v>601</v>
      </c>
      <c r="B32" s="12"/>
      <c r="C32" s="177"/>
      <c r="D32" s="313"/>
    </row>
    <row r="33" spans="1:4" x14ac:dyDescent="0.25">
      <c r="A33" s="93" t="s">
        <v>603</v>
      </c>
      <c r="B33" s="12" t="s">
        <v>604</v>
      </c>
      <c r="C33" s="177"/>
      <c r="D33" s="313"/>
    </row>
    <row r="34" spans="1:4" x14ac:dyDescent="0.25">
      <c r="A34" s="93" t="s">
        <v>624</v>
      </c>
      <c r="B34" s="12" t="s">
        <v>605</v>
      </c>
      <c r="C34" s="177"/>
      <c r="D34" s="313"/>
    </row>
    <row r="35" spans="1:4" x14ac:dyDescent="0.25">
      <c r="A35" s="93" t="s">
        <v>606</v>
      </c>
      <c r="B35" s="12" t="s">
        <v>608</v>
      </c>
      <c r="C35" s="177" t="s">
        <v>836</v>
      </c>
      <c r="D35" s="313"/>
    </row>
    <row r="36" spans="1:4" x14ac:dyDescent="0.25">
      <c r="A36" s="93" t="s">
        <v>607</v>
      </c>
      <c r="B36" s="12" t="s">
        <v>609</v>
      </c>
      <c r="C36" s="177" t="s">
        <v>610</v>
      </c>
      <c r="D36" s="313"/>
    </row>
    <row r="37" spans="1:4" x14ac:dyDescent="0.25">
      <c r="A37" s="93" t="s">
        <v>625</v>
      </c>
      <c r="B37" s="12" t="s">
        <v>611</v>
      </c>
      <c r="C37" s="177"/>
      <c r="D37" s="313"/>
    </row>
    <row r="38" spans="1:4" ht="30" x14ac:dyDescent="0.25">
      <c r="A38" s="93" t="s">
        <v>612</v>
      </c>
      <c r="B38" s="12"/>
      <c r="C38" s="177"/>
      <c r="D38" s="313"/>
    </row>
    <row r="39" spans="1:4" x14ac:dyDescent="0.25">
      <c r="A39" s="93" t="s">
        <v>626</v>
      </c>
      <c r="B39" s="12" t="s">
        <v>611</v>
      </c>
      <c r="C39" s="177"/>
      <c r="D39" s="313"/>
    </row>
    <row r="40" spans="1:4" x14ac:dyDescent="0.25">
      <c r="A40" s="93" t="s">
        <v>837</v>
      </c>
      <c r="B40" s="12" t="s">
        <v>613</v>
      </c>
      <c r="C40" s="177" t="str">
        <f>CONCATENATE(CMHOSTNAME,".",SRVRDOMAIN)</f>
        <v>.</v>
      </c>
      <c r="D40" s="313"/>
    </row>
    <row r="41" spans="1:4" x14ac:dyDescent="0.25">
      <c r="A41" s="93" t="s">
        <v>838</v>
      </c>
      <c r="B41" s="192" t="s">
        <v>614</v>
      </c>
      <c r="C41" s="177" t="str">
        <f>CONCATENATE(USHOSTNAME,".",SRVRDOMAIN)</f>
        <v>.</v>
      </c>
      <c r="D41" s="313"/>
    </row>
    <row r="42" spans="1:4" x14ac:dyDescent="0.25">
      <c r="A42" s="13" t="s">
        <v>615</v>
      </c>
      <c r="B42" s="6" t="s">
        <v>617</v>
      </c>
      <c r="C42" s="79"/>
      <c r="D42" s="342"/>
    </row>
    <row r="43" spans="1:4" x14ac:dyDescent="0.25">
      <c r="A43" s="13" t="s">
        <v>616</v>
      </c>
      <c r="B43" s="6" t="s">
        <v>37</v>
      </c>
      <c r="C43" s="79"/>
      <c r="D43" s="342"/>
    </row>
    <row r="44" spans="1:4" x14ac:dyDescent="0.25">
      <c r="A44" s="13" t="s">
        <v>618</v>
      </c>
      <c r="B44" s="6"/>
      <c r="C44" s="79"/>
      <c r="D44" s="342"/>
    </row>
    <row r="45" spans="1:4" x14ac:dyDescent="0.25">
      <c r="A45" s="13"/>
      <c r="B45" s="12"/>
      <c r="C45" s="12"/>
      <c r="D45" s="327"/>
    </row>
    <row r="46" spans="1:4" x14ac:dyDescent="0.25">
      <c r="A46" s="107" t="s">
        <v>474</v>
      </c>
      <c r="B46" s="12"/>
      <c r="C46" s="12"/>
      <c r="D46" s="327"/>
    </row>
    <row r="47" spans="1:4" x14ac:dyDescent="0.25">
      <c r="A47" s="13" t="s">
        <v>1673</v>
      </c>
      <c r="B47" s="12" t="s">
        <v>99</v>
      </c>
      <c r="C47" s="81" t="str">
        <f>CONCATENATE("http://",CDOMIP)</f>
        <v>http://</v>
      </c>
      <c r="D47" s="342"/>
    </row>
    <row r="48" spans="1:4" x14ac:dyDescent="0.25">
      <c r="A48" s="13" t="s">
        <v>102</v>
      </c>
      <c r="B48" s="12" t="s">
        <v>100</v>
      </c>
      <c r="C48" s="27" t="s">
        <v>41</v>
      </c>
      <c r="D48" s="342"/>
    </row>
    <row r="49" spans="1:4" x14ac:dyDescent="0.25">
      <c r="A49" s="13" t="s">
        <v>101</v>
      </c>
      <c r="B49" s="12" t="s">
        <v>78</v>
      </c>
      <c r="C49" s="27">
        <f>ADMINPASS</f>
        <v>0</v>
      </c>
      <c r="D49" s="342"/>
    </row>
    <row r="50" spans="1:4" x14ac:dyDescent="0.25">
      <c r="A50" s="13" t="s">
        <v>103</v>
      </c>
      <c r="B50" s="12" t="s">
        <v>104</v>
      </c>
      <c r="C50" s="12" t="s">
        <v>249</v>
      </c>
      <c r="D50" s="342"/>
    </row>
    <row r="51" spans="1:4" x14ac:dyDescent="0.25">
      <c r="A51" s="13" t="s">
        <v>106</v>
      </c>
      <c r="B51" s="12" t="s">
        <v>107</v>
      </c>
      <c r="C51" s="12" t="s">
        <v>250</v>
      </c>
      <c r="D51" s="342"/>
    </row>
    <row r="52" spans="1:4" x14ac:dyDescent="0.25">
      <c r="A52" s="13" t="s">
        <v>109</v>
      </c>
      <c r="B52" s="12" t="s">
        <v>108</v>
      </c>
      <c r="C52" s="12" t="s">
        <v>251</v>
      </c>
      <c r="D52" s="342"/>
    </row>
    <row r="53" spans="1:4" x14ac:dyDescent="0.25">
      <c r="A53" s="13" t="s">
        <v>111</v>
      </c>
      <c r="B53" s="12" t="s">
        <v>110</v>
      </c>
      <c r="C53" s="12" t="s">
        <v>252</v>
      </c>
      <c r="D53" s="342"/>
    </row>
    <row r="54" spans="1:4" x14ac:dyDescent="0.25">
      <c r="A54" s="13" t="s">
        <v>114</v>
      </c>
      <c r="B54" s="12" t="s">
        <v>113</v>
      </c>
      <c r="C54" s="12" t="s">
        <v>253</v>
      </c>
      <c r="D54" s="342"/>
    </row>
    <row r="55" spans="1:4" ht="165.75" thickBot="1" x14ac:dyDescent="0.3">
      <c r="A55" s="203" t="s">
        <v>112</v>
      </c>
      <c r="B55" s="57" t="s">
        <v>32</v>
      </c>
      <c r="C55" s="57" t="s">
        <v>254</v>
      </c>
      <c r="D55" s="328" t="s">
        <v>1670</v>
      </c>
    </row>
    <row r="56" spans="1:4" ht="15.75" thickTop="1" x14ac:dyDescent="0.25"/>
  </sheetData>
  <sheetProtection sheet="1" objects="1" scenarios="1"/>
  <dataConsolidate/>
  <mergeCells count="1">
    <mergeCell ref="A2:D2"/>
  </mergeCells>
  <hyperlinks>
    <hyperlink ref="C31" r:id="rId1"/>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23"/>
  <sheetViews>
    <sheetView zoomScaleNormal="100" workbookViewId="0">
      <pane ySplit="1" topLeftCell="A414" activePane="bottomLeft" state="frozen"/>
      <selection activeCell="C89" sqref="C89"/>
      <selection pane="bottomLeft" activeCell="A414" sqref="A414"/>
    </sheetView>
  </sheetViews>
  <sheetFormatPr defaultRowHeight="15" x14ac:dyDescent="0.25"/>
  <cols>
    <col min="1" max="1" width="64.140625" style="423" customWidth="1"/>
    <col min="2" max="2" width="38.7109375" style="404" customWidth="1"/>
    <col min="3" max="3" width="50" style="404" customWidth="1"/>
    <col min="4" max="4" width="38.85546875" style="498" customWidth="1"/>
  </cols>
  <sheetData>
    <row r="1" spans="1:4" ht="16.5" thickTop="1" thickBot="1" x14ac:dyDescent="0.3">
      <c r="A1" s="543" t="s">
        <v>11</v>
      </c>
      <c r="B1" s="518" t="s">
        <v>3</v>
      </c>
      <c r="C1" s="518" t="s">
        <v>193</v>
      </c>
      <c r="D1" s="562" t="s">
        <v>122</v>
      </c>
    </row>
    <row r="2" spans="1:4" ht="38.25" customHeight="1" thickTop="1" thickBot="1" x14ac:dyDescent="0.3">
      <c r="A2" s="612" t="s">
        <v>1790</v>
      </c>
      <c r="B2" s="613"/>
      <c r="C2" s="613"/>
      <c r="D2" s="614"/>
    </row>
    <row r="3" spans="1:4" ht="30.75" thickTop="1" x14ac:dyDescent="0.25">
      <c r="A3" s="514" t="s">
        <v>832</v>
      </c>
      <c r="D3" s="502"/>
    </row>
    <row r="4" spans="1:4" ht="60" x14ac:dyDescent="0.25">
      <c r="A4" s="544" t="s">
        <v>829</v>
      </c>
      <c r="B4" s="231" t="s">
        <v>830</v>
      </c>
      <c r="C4" s="231" t="s">
        <v>1382</v>
      </c>
      <c r="D4" s="510" t="s">
        <v>1747</v>
      </c>
    </row>
    <row r="5" spans="1:4" ht="30" x14ac:dyDescent="0.25">
      <c r="A5" s="544" t="s">
        <v>831</v>
      </c>
      <c r="B5" s="231" t="s">
        <v>1</v>
      </c>
      <c r="C5" s="231" t="s">
        <v>1</v>
      </c>
      <c r="D5" s="504"/>
    </row>
    <row r="6" spans="1:4" ht="90" x14ac:dyDescent="0.25">
      <c r="A6" s="544"/>
      <c r="B6" s="231" t="s">
        <v>217</v>
      </c>
      <c r="C6" s="231"/>
      <c r="D6" s="510" t="s">
        <v>833</v>
      </c>
    </row>
    <row r="7" spans="1:4" ht="15.75" thickBot="1" x14ac:dyDescent="0.3">
      <c r="A7" s="511"/>
      <c r="B7" s="387"/>
      <c r="C7" s="387"/>
      <c r="D7" s="510"/>
    </row>
    <row r="8" spans="1:4" ht="36" customHeight="1" thickTop="1" x14ac:dyDescent="0.25">
      <c r="A8" s="600" t="s">
        <v>1849</v>
      </c>
      <c r="B8" s="601"/>
      <c r="C8" s="601"/>
      <c r="D8" s="602"/>
    </row>
    <row r="9" spans="1:4" x14ac:dyDescent="0.25">
      <c r="A9" s="609"/>
      <c r="B9" s="610"/>
      <c r="C9" s="610"/>
      <c r="D9" s="611"/>
    </row>
    <row r="10" spans="1:4" x14ac:dyDescent="0.25">
      <c r="A10" s="514" t="s">
        <v>1986</v>
      </c>
      <c r="B10" s="387" t="s">
        <v>217</v>
      </c>
      <c r="C10" s="387"/>
      <c r="D10" s="502"/>
    </row>
    <row r="11" spans="1:4" x14ac:dyDescent="0.25">
      <c r="A11" s="511" t="s">
        <v>1987</v>
      </c>
      <c r="B11" s="587" t="s">
        <v>1988</v>
      </c>
      <c r="C11" s="509" t="str">
        <f>SP_FP4_UPGRADE_FILENAME</f>
        <v>vsp-6.3.7.0.05001.iso</v>
      </c>
      <c r="D11" s="502"/>
    </row>
    <row r="12" spans="1:4" x14ac:dyDescent="0.25">
      <c r="A12" s="511" t="s">
        <v>1989</v>
      </c>
      <c r="B12" s="587" t="s">
        <v>1</v>
      </c>
      <c r="C12" s="587" t="s">
        <v>1990</v>
      </c>
      <c r="D12" s="502"/>
    </row>
    <row r="13" spans="1:4" x14ac:dyDescent="0.25">
      <c r="A13" s="505" t="s">
        <v>637</v>
      </c>
      <c r="B13" s="231" t="s">
        <v>278</v>
      </c>
      <c r="C13" s="509">
        <f>CDOMIP</f>
        <v>0</v>
      </c>
      <c r="D13" s="515"/>
    </row>
    <row r="14" spans="1:4" x14ac:dyDescent="0.25">
      <c r="A14" s="505" t="s">
        <v>291</v>
      </c>
      <c r="B14" s="231" t="s">
        <v>215</v>
      </c>
      <c r="C14" s="231" t="str">
        <f>CONCATENATE("admin/",ADMINPASS)</f>
        <v>admin/</v>
      </c>
      <c r="D14" s="504"/>
    </row>
    <row r="15" spans="1:4" x14ac:dyDescent="0.25">
      <c r="A15" s="505" t="s">
        <v>2001</v>
      </c>
      <c r="B15" s="231" t="s">
        <v>460</v>
      </c>
      <c r="C15" s="231" t="s">
        <v>1991</v>
      </c>
      <c r="D15" s="504"/>
    </row>
    <row r="16" spans="1:4" x14ac:dyDescent="0.25">
      <c r="A16" s="505" t="s">
        <v>2002</v>
      </c>
      <c r="B16" s="231" t="s">
        <v>1992</v>
      </c>
      <c r="C16" s="231" t="s">
        <v>1993</v>
      </c>
      <c r="D16" s="504"/>
    </row>
    <row r="17" spans="1:4" x14ac:dyDescent="0.25">
      <c r="A17" s="505" t="s">
        <v>2003</v>
      </c>
      <c r="B17" s="231" t="s">
        <v>1994</v>
      </c>
      <c r="C17" s="231" t="s">
        <v>309</v>
      </c>
      <c r="D17" s="504"/>
    </row>
    <row r="18" spans="1:4" x14ac:dyDescent="0.25">
      <c r="A18" s="505" t="s">
        <v>2004</v>
      </c>
      <c r="B18" s="231" t="s">
        <v>1995</v>
      </c>
      <c r="C18" s="231" t="s">
        <v>1996</v>
      </c>
      <c r="D18" s="504"/>
    </row>
    <row r="19" spans="1:4" x14ac:dyDescent="0.25">
      <c r="A19" s="505" t="s">
        <v>2005</v>
      </c>
      <c r="B19" s="231" t="s">
        <v>927</v>
      </c>
      <c r="C19" s="231" t="s">
        <v>309</v>
      </c>
      <c r="D19" s="504"/>
    </row>
    <row r="20" spans="1:4" ht="60" x14ac:dyDescent="0.25">
      <c r="A20" s="505" t="s">
        <v>2006</v>
      </c>
      <c r="B20" s="231" t="s">
        <v>1997</v>
      </c>
      <c r="C20" s="231" t="s">
        <v>309</v>
      </c>
      <c r="D20" s="510" t="s">
        <v>1998</v>
      </c>
    </row>
    <row r="21" spans="1:4" x14ac:dyDescent="0.25">
      <c r="A21" s="505" t="s">
        <v>2007</v>
      </c>
      <c r="B21" s="231" t="s">
        <v>459</v>
      </c>
      <c r="C21" s="231" t="s">
        <v>309</v>
      </c>
      <c r="D21" s="504"/>
    </row>
    <row r="22" spans="1:4" x14ac:dyDescent="0.25">
      <c r="A22" s="505" t="s">
        <v>1999</v>
      </c>
      <c r="B22" s="231" t="s">
        <v>215</v>
      </c>
      <c r="C22" s="231" t="str">
        <f>CONCATENATE("admin/",ADMINPASS)</f>
        <v>admin/</v>
      </c>
      <c r="D22" s="504"/>
    </row>
    <row r="23" spans="1:4" x14ac:dyDescent="0.25">
      <c r="A23" s="624" t="s">
        <v>119</v>
      </c>
      <c r="B23" s="231" t="s">
        <v>124</v>
      </c>
      <c r="C23" s="231" t="s">
        <v>724</v>
      </c>
      <c r="D23" s="563"/>
    </row>
    <row r="24" spans="1:4" x14ac:dyDescent="0.25">
      <c r="A24" s="624" t="s">
        <v>2008</v>
      </c>
      <c r="B24" s="231" t="s">
        <v>117</v>
      </c>
      <c r="C24" s="231" t="s">
        <v>724</v>
      </c>
      <c r="D24" s="572" t="s">
        <v>2000</v>
      </c>
    </row>
    <row r="25" spans="1:4" x14ac:dyDescent="0.25">
      <c r="A25" s="623"/>
      <c r="B25" s="621"/>
      <c r="C25" s="621"/>
      <c r="D25" s="622"/>
    </row>
    <row r="26" spans="1:4" x14ac:dyDescent="0.25">
      <c r="A26" s="603" t="s">
        <v>1977</v>
      </c>
      <c r="B26" s="604"/>
      <c r="C26" s="604"/>
      <c r="D26" s="605"/>
    </row>
    <row r="27" spans="1:4" x14ac:dyDescent="0.25">
      <c r="A27" s="621"/>
      <c r="B27" s="621"/>
      <c r="C27" s="621"/>
      <c r="D27" s="622"/>
    </row>
    <row r="28" spans="1:4" x14ac:dyDescent="0.25">
      <c r="A28" s="514" t="s">
        <v>1979</v>
      </c>
      <c r="B28" s="387" t="s">
        <v>217</v>
      </c>
      <c r="C28" s="387"/>
      <c r="D28" s="502"/>
    </row>
    <row r="29" spans="1:4" ht="36" customHeight="1" x14ac:dyDescent="0.25">
      <c r="A29" s="505" t="s">
        <v>637</v>
      </c>
      <c r="B29" s="231" t="s">
        <v>278</v>
      </c>
      <c r="C29" s="509">
        <f>CDOMIP</f>
        <v>0</v>
      </c>
      <c r="D29" s="515"/>
    </row>
    <row r="30" spans="1:4" x14ac:dyDescent="0.25">
      <c r="A30" s="505" t="s">
        <v>291</v>
      </c>
      <c r="B30" s="231" t="s">
        <v>215</v>
      </c>
      <c r="C30" s="231" t="str">
        <f>CONCATENATE("admin/",ADMINPASS)</f>
        <v>admin/</v>
      </c>
      <c r="D30" s="504"/>
    </row>
    <row r="31" spans="1:4" ht="30" x14ac:dyDescent="0.25">
      <c r="A31" s="505" t="s">
        <v>461</v>
      </c>
      <c r="B31" s="231" t="s">
        <v>460</v>
      </c>
      <c r="C31" s="231" t="s">
        <v>462</v>
      </c>
      <c r="D31" s="504"/>
    </row>
    <row r="32" spans="1:4" x14ac:dyDescent="0.25">
      <c r="A32" s="505" t="s">
        <v>464</v>
      </c>
      <c r="B32" s="231" t="s">
        <v>463</v>
      </c>
      <c r="C32" s="231" t="s">
        <v>355</v>
      </c>
      <c r="D32" s="504"/>
    </row>
    <row r="33" spans="1:4" x14ac:dyDescent="0.25">
      <c r="A33" s="505" t="s">
        <v>465</v>
      </c>
      <c r="B33" s="231" t="s">
        <v>356</v>
      </c>
      <c r="C33" s="231" t="s">
        <v>309</v>
      </c>
      <c r="D33" s="504"/>
    </row>
    <row r="34" spans="1:4" ht="30" x14ac:dyDescent="0.25">
      <c r="A34" s="505" t="s">
        <v>466</v>
      </c>
      <c r="B34" s="231" t="s">
        <v>458</v>
      </c>
      <c r="C34" s="509" t="str">
        <f>SP_FP4_PATCH_FILENAME</f>
        <v>vsp-patch-6.3.8.01002.0.noarch.rpm</v>
      </c>
      <c r="D34" s="504"/>
    </row>
    <row r="35" spans="1:4" x14ac:dyDescent="0.25">
      <c r="A35" s="505" t="s">
        <v>357</v>
      </c>
      <c r="B35" s="231" t="s">
        <v>358</v>
      </c>
      <c r="C35" s="231" t="s">
        <v>309</v>
      </c>
      <c r="D35" s="504"/>
    </row>
    <row r="36" spans="1:4" ht="60" x14ac:dyDescent="0.25">
      <c r="A36" s="505" t="s">
        <v>467</v>
      </c>
      <c r="B36" s="231" t="s">
        <v>97</v>
      </c>
      <c r="C36" s="231" t="s">
        <v>309</v>
      </c>
      <c r="D36" s="510" t="s">
        <v>1805</v>
      </c>
    </row>
    <row r="37" spans="1:4" x14ac:dyDescent="0.25">
      <c r="A37" s="505" t="s">
        <v>801</v>
      </c>
      <c r="B37" s="231" t="s">
        <v>215</v>
      </c>
      <c r="C37" s="231" t="str">
        <f>CONCATENATE("admin/",ADMINPASS)</f>
        <v>admin/</v>
      </c>
      <c r="D37" s="504"/>
    </row>
    <row r="38" spans="1:4" x14ac:dyDescent="0.25">
      <c r="A38" s="505" t="s">
        <v>802</v>
      </c>
      <c r="B38" s="231" t="s">
        <v>460</v>
      </c>
      <c r="C38" s="231" t="s">
        <v>803</v>
      </c>
      <c r="D38" s="504"/>
    </row>
    <row r="39" spans="1:4" x14ac:dyDescent="0.25">
      <c r="A39" s="505" t="s">
        <v>806</v>
      </c>
      <c r="B39" s="231" t="s">
        <v>804</v>
      </c>
      <c r="C39" s="231" t="s">
        <v>805</v>
      </c>
      <c r="D39" s="504"/>
    </row>
    <row r="40" spans="1:4" ht="15.75" thickBot="1" x14ac:dyDescent="0.3">
      <c r="A40" s="505"/>
      <c r="B40" s="387"/>
      <c r="C40" s="387"/>
      <c r="D40" s="502"/>
    </row>
    <row r="41" spans="1:4" ht="36" customHeight="1" thickTop="1" x14ac:dyDescent="0.25">
      <c r="A41" s="600" t="s">
        <v>1898</v>
      </c>
      <c r="B41" s="601"/>
      <c r="C41" s="601"/>
      <c r="D41" s="602"/>
    </row>
    <row r="42" spans="1:4" x14ac:dyDescent="0.25">
      <c r="A42" s="623"/>
      <c r="B42" s="621"/>
      <c r="C42" s="621"/>
      <c r="D42" s="622"/>
    </row>
    <row r="43" spans="1:4" ht="30" x14ac:dyDescent="0.25">
      <c r="A43" s="500" t="s">
        <v>1899</v>
      </c>
      <c r="B43" s="231"/>
      <c r="C43" s="231"/>
      <c r="D43" s="510"/>
    </row>
    <row r="44" spans="1:4" x14ac:dyDescent="0.25">
      <c r="A44" s="505" t="s">
        <v>636</v>
      </c>
      <c r="B44" s="231" t="s">
        <v>278</v>
      </c>
      <c r="C44" s="509">
        <f>CDOMIP</f>
        <v>0</v>
      </c>
      <c r="D44" s="510" t="s">
        <v>807</v>
      </c>
    </row>
    <row r="45" spans="1:4" ht="36" customHeight="1" x14ac:dyDescent="0.25">
      <c r="A45" s="505" t="s">
        <v>291</v>
      </c>
      <c r="B45" s="231" t="s">
        <v>215</v>
      </c>
      <c r="C45" s="231" t="str">
        <f>CONCATENATE("admin/",ADMINPASS)</f>
        <v>admin/</v>
      </c>
      <c r="D45" s="510" t="s">
        <v>807</v>
      </c>
    </row>
    <row r="46" spans="1:4" ht="30" x14ac:dyDescent="0.25">
      <c r="A46" s="505" t="s">
        <v>461</v>
      </c>
      <c r="B46" s="231" t="s">
        <v>460</v>
      </c>
      <c r="C46" s="231" t="s">
        <v>462</v>
      </c>
      <c r="D46" s="504"/>
    </row>
    <row r="47" spans="1:4" x14ac:dyDescent="0.25">
      <c r="A47" s="505" t="s">
        <v>464</v>
      </c>
      <c r="B47" s="231" t="s">
        <v>463</v>
      </c>
      <c r="C47" s="231" t="s">
        <v>355</v>
      </c>
      <c r="D47" s="504"/>
    </row>
    <row r="48" spans="1:4" x14ac:dyDescent="0.25">
      <c r="A48" s="505" t="s">
        <v>465</v>
      </c>
      <c r="B48" s="231" t="s">
        <v>356</v>
      </c>
      <c r="C48" s="231" t="s">
        <v>309</v>
      </c>
      <c r="D48" s="504"/>
    </row>
    <row r="49" spans="1:4" ht="30" x14ac:dyDescent="0.25">
      <c r="A49" s="505" t="s">
        <v>466</v>
      </c>
      <c r="B49" s="231" t="s">
        <v>458</v>
      </c>
      <c r="C49" s="509" t="str">
        <f>SVM_Service_Pack_filename</f>
        <v>ServicesVM-3.0.1-1.zip</v>
      </c>
      <c r="D49" s="510" t="s">
        <v>1250</v>
      </c>
    </row>
    <row r="50" spans="1:4" x14ac:dyDescent="0.25">
      <c r="A50" s="505" t="s">
        <v>357</v>
      </c>
      <c r="B50" s="231" t="s">
        <v>358</v>
      </c>
      <c r="C50" s="231" t="s">
        <v>309</v>
      </c>
      <c r="D50" s="504"/>
    </row>
    <row r="51" spans="1:4" x14ac:dyDescent="0.25">
      <c r="A51" s="505" t="s">
        <v>467</v>
      </c>
      <c r="B51" s="231" t="s">
        <v>97</v>
      </c>
      <c r="C51" s="231" t="s">
        <v>309</v>
      </c>
      <c r="D51" s="504"/>
    </row>
    <row r="52" spans="1:4" x14ac:dyDescent="0.25">
      <c r="A52" s="505" t="s">
        <v>468</v>
      </c>
      <c r="B52" s="231" t="s">
        <v>459</v>
      </c>
      <c r="C52" s="231" t="s">
        <v>309</v>
      </c>
      <c r="D52" s="504"/>
    </row>
    <row r="53" spans="1:4" x14ac:dyDescent="0.25">
      <c r="A53" s="505" t="s">
        <v>469</v>
      </c>
      <c r="B53" s="231" t="s">
        <v>470</v>
      </c>
      <c r="C53" s="501" t="s">
        <v>635</v>
      </c>
      <c r="D53" s="504"/>
    </row>
    <row r="54" spans="1:4" x14ac:dyDescent="0.25">
      <c r="A54" s="505" t="s">
        <v>1230</v>
      </c>
      <c r="B54" s="231" t="s">
        <v>117</v>
      </c>
      <c r="C54" s="231"/>
      <c r="D54" s="504"/>
    </row>
    <row r="55" spans="1:4" x14ac:dyDescent="0.25">
      <c r="A55" s="505" t="s">
        <v>1231</v>
      </c>
      <c r="B55" s="231" t="s">
        <v>459</v>
      </c>
      <c r="C55" s="231"/>
      <c r="D55" s="504"/>
    </row>
    <row r="56" spans="1:4" x14ac:dyDescent="0.25">
      <c r="A56" s="505" t="s">
        <v>1232</v>
      </c>
      <c r="B56" s="231" t="s">
        <v>470</v>
      </c>
      <c r="C56" s="501" t="s">
        <v>1234</v>
      </c>
      <c r="D56" s="504"/>
    </row>
    <row r="57" spans="1:4" x14ac:dyDescent="0.25">
      <c r="A57" s="505"/>
      <c r="B57" s="231"/>
      <c r="C57" s="501"/>
      <c r="D57" s="502"/>
    </row>
    <row r="58" spans="1:4" x14ac:dyDescent="0.25">
      <c r="A58" s="500" t="s">
        <v>1980</v>
      </c>
      <c r="B58" s="231"/>
      <c r="C58" s="501"/>
      <c r="D58" s="502"/>
    </row>
    <row r="59" spans="1:4" x14ac:dyDescent="0.25">
      <c r="A59" s="422" t="s">
        <v>1981</v>
      </c>
      <c r="B59" s="587" t="s">
        <v>533</v>
      </c>
      <c r="C59" s="503">
        <f>SVMIP</f>
        <v>0</v>
      </c>
      <c r="D59" s="504"/>
    </row>
    <row r="60" spans="1:4" x14ac:dyDescent="0.25">
      <c r="A60" s="505" t="s">
        <v>1794</v>
      </c>
      <c r="B60" s="231" t="s">
        <v>215</v>
      </c>
      <c r="C60" s="506" t="str">
        <f>CONCATENATE("admin/",ADMINPASS)</f>
        <v>admin/</v>
      </c>
      <c r="D60" s="504"/>
    </row>
    <row r="61" spans="1:4" ht="36" customHeight="1" x14ac:dyDescent="0.25">
      <c r="A61" s="505" t="s">
        <v>811</v>
      </c>
      <c r="B61" s="231" t="s">
        <v>812</v>
      </c>
      <c r="C61" s="506" t="s">
        <v>813</v>
      </c>
      <c r="D61" s="504"/>
    </row>
    <row r="62" spans="1:4" x14ac:dyDescent="0.25">
      <c r="A62" s="505" t="s">
        <v>1722</v>
      </c>
      <c r="B62" s="231" t="s">
        <v>809</v>
      </c>
      <c r="C62" s="507" t="s">
        <v>810</v>
      </c>
      <c r="D62" s="508"/>
    </row>
    <row r="63" spans="1:4" ht="30" x14ac:dyDescent="0.25">
      <c r="A63" s="505" t="s">
        <v>1894</v>
      </c>
      <c r="B63" s="231" t="s">
        <v>1895</v>
      </c>
      <c r="C63" s="509" t="str">
        <f>SVM_SANITY_PATCH_FILENAME</f>
        <v>svm_sanity_1.0.1.bsx</v>
      </c>
      <c r="D63" s="510" t="s">
        <v>1250</v>
      </c>
    </row>
    <row r="64" spans="1:4" ht="30" x14ac:dyDescent="0.25">
      <c r="A64" s="505" t="s">
        <v>1721</v>
      </c>
      <c r="B64" s="231" t="s">
        <v>537</v>
      </c>
      <c r="C64" s="231" t="s">
        <v>538</v>
      </c>
      <c r="D64" s="504"/>
    </row>
    <row r="65" spans="1:4" ht="30" x14ac:dyDescent="0.25">
      <c r="A65" s="505" t="s">
        <v>1896</v>
      </c>
      <c r="B65" s="231" t="s">
        <v>1</v>
      </c>
      <c r="C65" s="231" t="s">
        <v>1</v>
      </c>
      <c r="D65" s="504"/>
    </row>
    <row r="66" spans="1:4" x14ac:dyDescent="0.25">
      <c r="A66" s="505" t="s">
        <v>539</v>
      </c>
      <c r="B66" s="231" t="s">
        <v>540</v>
      </c>
      <c r="C66" s="231" t="s">
        <v>541</v>
      </c>
      <c r="D66" s="504"/>
    </row>
    <row r="67" spans="1:4" x14ac:dyDescent="0.25">
      <c r="A67" s="505" t="s">
        <v>1647</v>
      </c>
      <c r="B67" s="231" t="s">
        <v>815</v>
      </c>
      <c r="C67" s="231" t="s">
        <v>818</v>
      </c>
      <c r="D67" s="504"/>
    </row>
    <row r="68" spans="1:4" x14ac:dyDescent="0.25">
      <c r="A68" s="505" t="s">
        <v>1648</v>
      </c>
      <c r="B68" s="231" t="s">
        <v>459</v>
      </c>
      <c r="C68" s="231" t="s">
        <v>819</v>
      </c>
      <c r="D68" s="502"/>
    </row>
    <row r="69" spans="1:4" x14ac:dyDescent="0.25">
      <c r="A69" s="422" t="s">
        <v>1982</v>
      </c>
      <c r="B69" s="587" t="s">
        <v>1983</v>
      </c>
      <c r="C69" s="503">
        <f>SVMIP</f>
        <v>0</v>
      </c>
      <c r="D69" s="502"/>
    </row>
    <row r="70" spans="1:4" x14ac:dyDescent="0.25">
      <c r="A70" s="505" t="s">
        <v>1649</v>
      </c>
      <c r="B70" s="231" t="s">
        <v>820</v>
      </c>
      <c r="C70" s="506" t="s">
        <v>817</v>
      </c>
      <c r="D70" s="502"/>
    </row>
    <row r="71" spans="1:4" x14ac:dyDescent="0.25">
      <c r="A71" s="511" t="s">
        <v>1897</v>
      </c>
      <c r="B71" s="231" t="s">
        <v>215</v>
      </c>
      <c r="C71" s="506" t="str">
        <f>CONCATENATE("admin/",ADMINPASS)</f>
        <v>admin/</v>
      </c>
      <c r="D71" s="502"/>
    </row>
    <row r="72" spans="1:4" x14ac:dyDescent="0.25">
      <c r="A72" s="512" t="s">
        <v>1799</v>
      </c>
      <c r="B72" s="587" t="s">
        <v>543</v>
      </c>
      <c r="C72" s="513" t="s">
        <v>1802</v>
      </c>
      <c r="D72" s="502"/>
    </row>
    <row r="73" spans="1:4" ht="45" x14ac:dyDescent="0.25">
      <c r="A73" s="511" t="s">
        <v>1984</v>
      </c>
      <c r="B73" s="587" t="s">
        <v>543</v>
      </c>
      <c r="C73" s="513" t="str">
        <f>CONCATENATE("sh ","/tmp/",SVM_SANITY_PATCH_FILENAME)</f>
        <v>sh /tmp/svm_sanity_1.0.1.bsx</v>
      </c>
      <c r="D73" s="620" t="s">
        <v>1985</v>
      </c>
    </row>
    <row r="74" spans="1:4" ht="15.75" thickBot="1" x14ac:dyDescent="0.3">
      <c r="A74" s="516"/>
      <c r="B74" s="387"/>
      <c r="C74" s="387"/>
      <c r="D74" s="502"/>
    </row>
    <row r="75" spans="1:4" ht="36" customHeight="1" thickTop="1" x14ac:dyDescent="0.25">
      <c r="A75" s="600" t="s">
        <v>1911</v>
      </c>
      <c r="B75" s="601"/>
      <c r="C75" s="601"/>
      <c r="D75" s="602"/>
    </row>
    <row r="76" spans="1:4" x14ac:dyDescent="0.25">
      <c r="A76" s="615"/>
      <c r="B76" s="615"/>
      <c r="C76" s="615"/>
      <c r="D76" s="616"/>
    </row>
    <row r="77" spans="1:4" ht="45" x14ac:dyDescent="0.25">
      <c r="A77" s="500" t="s">
        <v>1746</v>
      </c>
      <c r="B77" s="231"/>
      <c r="C77" s="231"/>
      <c r="D77" s="510" t="s">
        <v>1745</v>
      </c>
    </row>
    <row r="78" spans="1:4" ht="75" x14ac:dyDescent="0.25">
      <c r="A78" s="505" t="s">
        <v>1726</v>
      </c>
      <c r="B78" s="231" t="s">
        <v>533</v>
      </c>
      <c r="C78" s="509">
        <f>CDOMIP</f>
        <v>0</v>
      </c>
      <c r="D78" s="510" t="s">
        <v>1748</v>
      </c>
    </row>
    <row r="79" spans="1:4" ht="30" x14ac:dyDescent="0.25">
      <c r="A79" s="505" t="s">
        <v>1725</v>
      </c>
      <c r="B79" s="231" t="s">
        <v>535</v>
      </c>
      <c r="C79" s="506" t="str">
        <f>CONCATENATE("admin/",ADMINPASS)</f>
        <v>admin/</v>
      </c>
      <c r="D79" s="504"/>
    </row>
    <row r="80" spans="1:4" ht="30" x14ac:dyDescent="0.25">
      <c r="A80" s="505" t="s">
        <v>811</v>
      </c>
      <c r="B80" s="231" t="s">
        <v>812</v>
      </c>
      <c r="C80" s="506" t="s">
        <v>813</v>
      </c>
      <c r="D80" s="504"/>
    </row>
    <row r="81" spans="1:4" x14ac:dyDescent="0.25">
      <c r="A81" s="505" t="s">
        <v>1722</v>
      </c>
      <c r="B81" s="231" t="s">
        <v>809</v>
      </c>
      <c r="C81" s="506" t="s">
        <v>810</v>
      </c>
      <c r="D81" s="504"/>
    </row>
    <row r="82" spans="1:4" ht="45" x14ac:dyDescent="0.25">
      <c r="A82" s="505" t="s">
        <v>1727</v>
      </c>
      <c r="B82" s="231" t="s">
        <v>1728</v>
      </c>
      <c r="C82" s="509" t="str">
        <f>SMGR_PATCH_EXE_FILENAME</f>
        <v>smgr-patch-plugin-updater-1.0.bin</v>
      </c>
      <c r="D82" s="510" t="s">
        <v>1250</v>
      </c>
    </row>
    <row r="83" spans="1:4" ht="30" x14ac:dyDescent="0.25">
      <c r="A83" s="505" t="s">
        <v>1736</v>
      </c>
      <c r="B83" s="231" t="s">
        <v>1</v>
      </c>
      <c r="C83" s="231" t="s">
        <v>1</v>
      </c>
      <c r="D83" s="504"/>
    </row>
    <row r="84" spans="1:4" x14ac:dyDescent="0.25">
      <c r="A84" s="505" t="s">
        <v>539</v>
      </c>
      <c r="B84" s="231" t="s">
        <v>540</v>
      </c>
      <c r="C84" s="231" t="s">
        <v>541</v>
      </c>
      <c r="D84" s="504"/>
    </row>
    <row r="85" spans="1:4" x14ac:dyDescent="0.25">
      <c r="A85" s="505" t="s">
        <v>1647</v>
      </c>
      <c r="B85" s="231" t="s">
        <v>815</v>
      </c>
      <c r="C85" s="231" t="s">
        <v>818</v>
      </c>
      <c r="D85" s="504"/>
    </row>
    <row r="86" spans="1:4" x14ac:dyDescent="0.25">
      <c r="A86" s="505" t="s">
        <v>1648</v>
      </c>
      <c r="B86" s="231" t="s">
        <v>459</v>
      </c>
      <c r="C86" s="231" t="s">
        <v>819</v>
      </c>
      <c r="D86" s="504"/>
    </row>
    <row r="87" spans="1:4" x14ac:dyDescent="0.25">
      <c r="A87" s="422" t="s">
        <v>1737</v>
      </c>
      <c r="B87" s="387" t="s">
        <v>1738</v>
      </c>
      <c r="C87" s="503">
        <f>CDOMIP</f>
        <v>0</v>
      </c>
      <c r="D87" s="502"/>
    </row>
    <row r="88" spans="1:4" x14ac:dyDescent="0.25">
      <c r="A88" s="505" t="s">
        <v>1649</v>
      </c>
      <c r="B88" s="231" t="s">
        <v>820</v>
      </c>
      <c r="C88" s="506" t="s">
        <v>817</v>
      </c>
      <c r="D88" s="508"/>
    </row>
    <row r="89" spans="1:4" x14ac:dyDescent="0.25">
      <c r="A89" s="505" t="s">
        <v>1739</v>
      </c>
      <c r="B89" s="231" t="s">
        <v>105</v>
      </c>
      <c r="C89" s="506" t="str">
        <f>CONCATENATE("admin/",ADMINPASS)</f>
        <v>admin/</v>
      </c>
      <c r="D89" s="510"/>
    </row>
    <row r="90" spans="1:4" ht="44.25" customHeight="1" x14ac:dyDescent="0.25">
      <c r="A90" s="362" t="s">
        <v>1622</v>
      </c>
      <c r="B90" s="519" t="s">
        <v>543</v>
      </c>
      <c r="C90" s="519" t="s">
        <v>1740</v>
      </c>
      <c r="D90" s="508"/>
    </row>
    <row r="91" spans="1:4" x14ac:dyDescent="0.25">
      <c r="A91" s="419" t="s">
        <v>1741</v>
      </c>
      <c r="B91" s="405" t="s">
        <v>543</v>
      </c>
      <c r="C91" s="405" t="s">
        <v>1742</v>
      </c>
      <c r="D91" s="508"/>
    </row>
    <row r="92" spans="1:4" x14ac:dyDescent="0.25">
      <c r="A92" s="505" t="s">
        <v>1743</v>
      </c>
      <c r="B92" s="231" t="s">
        <v>543</v>
      </c>
      <c r="C92" s="231" t="s">
        <v>1744</v>
      </c>
      <c r="D92" s="510"/>
    </row>
    <row r="93" spans="1:4" x14ac:dyDescent="0.25">
      <c r="A93" s="505"/>
      <c r="B93" s="231"/>
      <c r="C93" s="231"/>
      <c r="D93" s="510"/>
    </row>
    <row r="94" spans="1:4" ht="30" x14ac:dyDescent="0.25">
      <c r="A94" s="500" t="s">
        <v>1702</v>
      </c>
      <c r="B94" s="231"/>
      <c r="C94" s="231"/>
      <c r="D94" s="510"/>
    </row>
    <row r="95" spans="1:4" x14ac:dyDescent="0.25">
      <c r="A95" s="505" t="s">
        <v>636</v>
      </c>
      <c r="B95" s="231" t="s">
        <v>278</v>
      </c>
      <c r="C95" s="509">
        <f>CDOMIP</f>
        <v>0</v>
      </c>
      <c r="D95" s="510" t="s">
        <v>807</v>
      </c>
    </row>
    <row r="96" spans="1:4" x14ac:dyDescent="0.25">
      <c r="A96" s="505" t="s">
        <v>291</v>
      </c>
      <c r="B96" s="231" t="s">
        <v>215</v>
      </c>
      <c r="C96" s="231" t="str">
        <f>CONCATENATE("admin/",ADMINPASS)</f>
        <v>admin/</v>
      </c>
      <c r="D96" s="510" t="s">
        <v>807</v>
      </c>
    </row>
    <row r="97" spans="1:4" ht="30" x14ac:dyDescent="0.25">
      <c r="A97" s="505" t="s">
        <v>461</v>
      </c>
      <c r="B97" s="231" t="s">
        <v>460</v>
      </c>
      <c r="C97" s="231" t="s">
        <v>462</v>
      </c>
      <c r="D97" s="504"/>
    </row>
    <row r="98" spans="1:4" s="351" customFormat="1" x14ac:dyDescent="0.25">
      <c r="A98" s="505" t="s">
        <v>464</v>
      </c>
      <c r="B98" s="231" t="s">
        <v>463</v>
      </c>
      <c r="C98" s="231" t="s">
        <v>355</v>
      </c>
      <c r="D98" s="504"/>
    </row>
    <row r="99" spans="1:4" ht="36" customHeight="1" x14ac:dyDescent="0.25">
      <c r="A99" s="505" t="s">
        <v>465</v>
      </c>
      <c r="B99" s="231" t="s">
        <v>356</v>
      </c>
      <c r="C99" s="231" t="s">
        <v>309</v>
      </c>
      <c r="D99" s="504"/>
    </row>
    <row r="100" spans="1:4" ht="30" x14ac:dyDescent="0.25">
      <c r="A100" s="505" t="s">
        <v>466</v>
      </c>
      <c r="B100" s="231" t="s">
        <v>458</v>
      </c>
      <c r="C100" s="509" t="str">
        <f>SMGR_SP_FILENAME</f>
        <v>System_Manager_6.3.17_r5404616.bin</v>
      </c>
      <c r="D100" s="510" t="s">
        <v>1250</v>
      </c>
    </row>
    <row r="101" spans="1:4" x14ac:dyDescent="0.25">
      <c r="A101" s="505" t="s">
        <v>357</v>
      </c>
      <c r="B101" s="231" t="s">
        <v>358</v>
      </c>
      <c r="C101" s="231" t="s">
        <v>309</v>
      </c>
      <c r="D101" s="504"/>
    </row>
    <row r="102" spans="1:4" x14ac:dyDescent="0.25">
      <c r="A102" s="505" t="s">
        <v>467</v>
      </c>
      <c r="B102" s="231" t="s">
        <v>97</v>
      </c>
      <c r="C102" s="231" t="s">
        <v>309</v>
      </c>
      <c r="D102" s="504"/>
    </row>
    <row r="103" spans="1:4" x14ac:dyDescent="0.25">
      <c r="A103" s="505" t="s">
        <v>468</v>
      </c>
      <c r="B103" s="231" t="s">
        <v>459</v>
      </c>
      <c r="C103" s="231" t="s">
        <v>309</v>
      </c>
      <c r="D103" s="504"/>
    </row>
    <row r="104" spans="1:4" x14ac:dyDescent="0.25">
      <c r="A104" s="505" t="s">
        <v>469</v>
      </c>
      <c r="B104" s="231" t="s">
        <v>470</v>
      </c>
      <c r="C104" s="501" t="s">
        <v>635</v>
      </c>
      <c r="D104" s="504"/>
    </row>
    <row r="105" spans="1:4" x14ac:dyDescent="0.25">
      <c r="A105" s="505" t="s">
        <v>1230</v>
      </c>
      <c r="B105" s="231" t="s">
        <v>117</v>
      </c>
      <c r="C105" s="231"/>
      <c r="D105" s="504"/>
    </row>
    <row r="106" spans="1:4" x14ac:dyDescent="0.25">
      <c r="A106" s="505" t="s">
        <v>1231</v>
      </c>
      <c r="B106" s="231" t="s">
        <v>459</v>
      </c>
      <c r="C106" s="231"/>
      <c r="D106" s="504"/>
    </row>
    <row r="107" spans="1:4" x14ac:dyDescent="0.25">
      <c r="A107" s="505" t="s">
        <v>1232</v>
      </c>
      <c r="B107" s="231" t="s">
        <v>470</v>
      </c>
      <c r="C107" s="501" t="s">
        <v>1234</v>
      </c>
      <c r="D107" s="504"/>
    </row>
    <row r="108" spans="1:4" x14ac:dyDescent="0.25">
      <c r="A108" s="505"/>
      <c r="B108" s="231"/>
      <c r="C108" s="501"/>
      <c r="D108" s="504"/>
    </row>
    <row r="109" spans="1:4" ht="45" x14ac:dyDescent="0.25">
      <c r="A109" s="500" t="s">
        <v>1700</v>
      </c>
      <c r="B109" s="231"/>
      <c r="C109" s="519"/>
      <c r="D109" s="504" t="s">
        <v>1701</v>
      </c>
    </row>
    <row r="110" spans="1:4" ht="45" x14ac:dyDescent="0.25">
      <c r="A110" s="505" t="s">
        <v>214</v>
      </c>
      <c r="B110" s="231" t="s">
        <v>219</v>
      </c>
      <c r="C110" s="520" t="str">
        <f>CONCATENATE("http://",CDOMIP)</f>
        <v>http://</v>
      </c>
      <c r="D110" s="515" t="s">
        <v>1236</v>
      </c>
    </row>
    <row r="111" spans="1:4" x14ac:dyDescent="0.25">
      <c r="A111" s="419" t="s">
        <v>502</v>
      </c>
      <c r="B111" s="231" t="s">
        <v>215</v>
      </c>
      <c r="C111" s="520" t="str">
        <f>CONCATENATE("admin/",ADMINPASS)</f>
        <v>admin/</v>
      </c>
      <c r="D111" s="563"/>
    </row>
    <row r="112" spans="1:4" x14ac:dyDescent="0.25">
      <c r="A112" s="505" t="s">
        <v>547</v>
      </c>
      <c r="B112" s="231" t="s">
        <v>460</v>
      </c>
      <c r="C112" s="519" t="s">
        <v>1237</v>
      </c>
      <c r="D112" s="504"/>
    </row>
    <row r="113" spans="1:4" x14ac:dyDescent="0.25">
      <c r="A113" s="505" t="s">
        <v>1238</v>
      </c>
      <c r="B113" s="231" t="s">
        <v>1239</v>
      </c>
      <c r="C113" s="519" t="s">
        <v>375</v>
      </c>
      <c r="D113" s="504"/>
    </row>
    <row r="114" spans="1:4" ht="45" x14ac:dyDescent="0.25">
      <c r="A114" s="505" t="s">
        <v>1240</v>
      </c>
      <c r="B114" s="231" t="s">
        <v>553</v>
      </c>
      <c r="C114" s="519" t="s">
        <v>309</v>
      </c>
      <c r="D114" s="504" t="s">
        <v>1241</v>
      </c>
    </row>
    <row r="115" spans="1:4" ht="36" customHeight="1" x14ac:dyDescent="0.25">
      <c r="A115" s="505" t="s">
        <v>1242</v>
      </c>
      <c r="B115" s="231" t="s">
        <v>1243</v>
      </c>
      <c r="C115" s="519" t="s">
        <v>1244</v>
      </c>
      <c r="D115" s="504"/>
    </row>
    <row r="116" spans="1:4" ht="15" customHeight="1" thickBot="1" x14ac:dyDescent="0.3">
      <c r="A116" s="505"/>
      <c r="B116" s="231"/>
      <c r="C116" s="519"/>
      <c r="D116" s="504"/>
    </row>
    <row r="117" spans="1:4" ht="36" customHeight="1" thickTop="1" x14ac:dyDescent="0.25">
      <c r="A117" s="600" t="s">
        <v>1910</v>
      </c>
      <c r="B117" s="601"/>
      <c r="C117" s="601"/>
      <c r="D117" s="602"/>
    </row>
    <row r="118" spans="1:4" x14ac:dyDescent="0.25">
      <c r="A118" s="608"/>
      <c r="B118" s="604"/>
      <c r="C118" s="604"/>
      <c r="D118" s="605"/>
    </row>
    <row r="119" spans="1:4" ht="30" x14ac:dyDescent="0.25">
      <c r="A119" s="500" t="s">
        <v>1703</v>
      </c>
      <c r="B119" s="231"/>
      <c r="C119" s="509"/>
      <c r="D119" s="510"/>
    </row>
    <row r="120" spans="1:4" ht="75" x14ac:dyDescent="0.25">
      <c r="A120" s="505" t="s">
        <v>1222</v>
      </c>
      <c r="B120" s="231" t="s">
        <v>533</v>
      </c>
      <c r="C120" s="509">
        <f>SMIP</f>
        <v>0</v>
      </c>
      <c r="D120" s="510" t="s">
        <v>1748</v>
      </c>
    </row>
    <row r="121" spans="1:4" ht="36" customHeight="1" x14ac:dyDescent="0.25">
      <c r="A121" s="505" t="s">
        <v>1226</v>
      </c>
      <c r="B121" s="231" t="s">
        <v>535</v>
      </c>
      <c r="C121" s="506" t="str">
        <f>CONCATENATE(CUSTUSERNAME, " / ", CUSTPASSWORD)</f>
        <v xml:space="preserve"> / </v>
      </c>
      <c r="D121" s="504"/>
    </row>
    <row r="122" spans="1:4" ht="30" x14ac:dyDescent="0.25">
      <c r="A122" s="505" t="s">
        <v>811</v>
      </c>
      <c r="B122" s="231" t="s">
        <v>812</v>
      </c>
      <c r="C122" s="506" t="s">
        <v>813</v>
      </c>
      <c r="D122" s="504"/>
    </row>
    <row r="123" spans="1:4" x14ac:dyDescent="0.25">
      <c r="A123" s="505" t="s">
        <v>1722</v>
      </c>
      <c r="B123" s="231" t="s">
        <v>809</v>
      </c>
      <c r="C123" s="506" t="s">
        <v>810</v>
      </c>
      <c r="D123" s="504"/>
    </row>
    <row r="124" spans="1:4" ht="30" x14ac:dyDescent="0.25">
      <c r="A124" s="505" t="s">
        <v>1665</v>
      </c>
      <c r="B124" s="231" t="s">
        <v>1666</v>
      </c>
      <c r="C124" s="509" t="str">
        <f>SM_SP_FILENAME</f>
        <v>asm-6.3.17.0.631705-installer.iso</v>
      </c>
      <c r="D124" s="510" t="s">
        <v>1250</v>
      </c>
    </row>
    <row r="125" spans="1:4" ht="30" x14ac:dyDescent="0.25">
      <c r="A125" s="505" t="s">
        <v>1721</v>
      </c>
      <c r="B125" s="231" t="s">
        <v>537</v>
      </c>
      <c r="C125" s="231" t="s">
        <v>538</v>
      </c>
      <c r="D125" s="504"/>
    </row>
    <row r="126" spans="1:4" ht="30" x14ac:dyDescent="0.25">
      <c r="A126" s="505" t="s">
        <v>1661</v>
      </c>
      <c r="B126" s="231" t="s">
        <v>1</v>
      </c>
      <c r="C126" s="231" t="s">
        <v>1</v>
      </c>
      <c r="D126" s="504"/>
    </row>
    <row r="127" spans="1:4" x14ac:dyDescent="0.25">
      <c r="A127" s="505" t="s">
        <v>539</v>
      </c>
      <c r="B127" s="231" t="s">
        <v>540</v>
      </c>
      <c r="C127" s="231" t="s">
        <v>541</v>
      </c>
      <c r="D127" s="504"/>
    </row>
    <row r="128" spans="1:4" x14ac:dyDescent="0.25">
      <c r="A128" s="505" t="s">
        <v>1647</v>
      </c>
      <c r="B128" s="231" t="s">
        <v>815</v>
      </c>
      <c r="C128" s="231" t="s">
        <v>818</v>
      </c>
      <c r="D128" s="504"/>
    </row>
    <row r="129" spans="1:4" x14ac:dyDescent="0.25">
      <c r="A129" s="505" t="s">
        <v>1648</v>
      </c>
      <c r="B129" s="231" t="s">
        <v>459</v>
      </c>
      <c r="C129" s="231" t="s">
        <v>819</v>
      </c>
      <c r="D129" s="504"/>
    </row>
    <row r="130" spans="1:4" x14ac:dyDescent="0.25">
      <c r="A130" s="422" t="s">
        <v>1223</v>
      </c>
      <c r="B130" s="387" t="s">
        <v>1227</v>
      </c>
      <c r="C130" s="503">
        <f>SMIP</f>
        <v>0</v>
      </c>
      <c r="D130" s="502"/>
    </row>
    <row r="131" spans="1:4" x14ac:dyDescent="0.25">
      <c r="A131" s="505" t="s">
        <v>1649</v>
      </c>
      <c r="B131" s="231" t="s">
        <v>820</v>
      </c>
      <c r="C131" s="506" t="s">
        <v>817</v>
      </c>
      <c r="D131" s="508"/>
    </row>
    <row r="132" spans="1:4" x14ac:dyDescent="0.25">
      <c r="A132" s="505" t="s">
        <v>1646</v>
      </c>
      <c r="B132" s="231" t="s">
        <v>105</v>
      </c>
      <c r="C132" s="506" t="str">
        <f>CONCATENATE(CUSTUSERNAME, " / ", CUSTPASSWORD)</f>
        <v xml:space="preserve"> / </v>
      </c>
      <c r="D132" s="510"/>
    </row>
    <row r="133" spans="1:4" ht="30" x14ac:dyDescent="0.25">
      <c r="A133" s="505" t="s">
        <v>1667</v>
      </c>
      <c r="B133" s="231" t="s">
        <v>543</v>
      </c>
      <c r="C133" s="231" t="s">
        <v>545</v>
      </c>
      <c r="D133" s="504"/>
    </row>
    <row r="134" spans="1:4" x14ac:dyDescent="0.25">
      <c r="A134" s="505" t="s">
        <v>1645</v>
      </c>
      <c r="B134" s="231" t="s">
        <v>543</v>
      </c>
      <c r="C134" s="521" t="str">
        <f>CONCATENATE("upgradeSM ./", SM_SP_FILENAME)</f>
        <v>upgradeSM ./asm-6.3.17.0.631705-installer.iso</v>
      </c>
      <c r="D134" s="504"/>
    </row>
    <row r="135" spans="1:4" x14ac:dyDescent="0.25">
      <c r="A135" s="505" t="s">
        <v>1718</v>
      </c>
      <c r="B135" s="231" t="s">
        <v>1717</v>
      </c>
      <c r="C135" s="521" t="s">
        <v>1715</v>
      </c>
      <c r="D135" s="504"/>
    </row>
    <row r="136" spans="1:4" ht="30" x14ac:dyDescent="0.25">
      <c r="A136" s="505" t="s">
        <v>1719</v>
      </c>
      <c r="B136" s="231" t="s">
        <v>1717</v>
      </c>
      <c r="C136" s="521" t="s">
        <v>1716</v>
      </c>
      <c r="D136" s="504"/>
    </row>
    <row r="137" spans="1:4" ht="45" x14ac:dyDescent="0.25">
      <c r="A137" s="505" t="s">
        <v>1720</v>
      </c>
      <c r="B137" s="231" t="s">
        <v>470</v>
      </c>
      <c r="C137" s="521" t="s">
        <v>1245</v>
      </c>
      <c r="D137" s="504" t="s">
        <v>1246</v>
      </c>
    </row>
    <row r="138" spans="1:4" ht="15.75" thickBot="1" x14ac:dyDescent="0.3">
      <c r="A138" s="545"/>
      <c r="B138" s="524"/>
      <c r="C138" s="522"/>
      <c r="D138" s="564"/>
    </row>
    <row r="139" spans="1:4" ht="35.1" customHeight="1" thickTop="1" x14ac:dyDescent="0.25">
      <c r="A139" s="600" t="s">
        <v>1848</v>
      </c>
      <c r="B139" s="601"/>
      <c r="C139" s="601"/>
      <c r="D139" s="602"/>
    </row>
    <row r="140" spans="1:4" x14ac:dyDescent="0.25">
      <c r="A140" s="608"/>
      <c r="B140" s="604"/>
      <c r="C140" s="604"/>
      <c r="D140" s="605"/>
    </row>
    <row r="141" spans="1:4" ht="30" x14ac:dyDescent="0.25">
      <c r="A141" s="500" t="s">
        <v>1704</v>
      </c>
      <c r="B141" s="231"/>
      <c r="C141" s="509"/>
      <c r="D141" s="508"/>
    </row>
    <row r="142" spans="1:4" x14ac:dyDescent="0.25">
      <c r="A142" s="603"/>
      <c r="B142" s="606"/>
      <c r="C142" s="606"/>
      <c r="D142" s="607"/>
    </row>
    <row r="143" spans="1:4" x14ac:dyDescent="0.25">
      <c r="A143" s="603" t="s">
        <v>1658</v>
      </c>
      <c r="B143" s="606"/>
      <c r="C143" s="606"/>
      <c r="D143" s="607"/>
    </row>
    <row r="144" spans="1:4" x14ac:dyDescent="0.25">
      <c r="A144" s="546"/>
      <c r="B144" s="523"/>
      <c r="C144" s="523"/>
      <c r="D144" s="565"/>
    </row>
    <row r="145" spans="1:4" x14ac:dyDescent="0.25">
      <c r="A145" s="422" t="s">
        <v>822</v>
      </c>
      <c r="B145" s="387" t="s">
        <v>533</v>
      </c>
      <c r="C145" s="503">
        <f>PS6IP</f>
        <v>0</v>
      </c>
      <c r="D145" s="502"/>
    </row>
    <row r="146" spans="1:4" x14ac:dyDescent="0.25">
      <c r="A146" s="505" t="s">
        <v>534</v>
      </c>
      <c r="B146" s="231" t="s">
        <v>535</v>
      </c>
      <c r="C146" s="506" t="s">
        <v>221</v>
      </c>
      <c r="D146" s="504"/>
    </row>
    <row r="147" spans="1:4" ht="30" x14ac:dyDescent="0.25">
      <c r="A147" s="505" t="s">
        <v>811</v>
      </c>
      <c r="B147" s="231" t="s">
        <v>812</v>
      </c>
      <c r="C147" s="506" t="s">
        <v>813</v>
      </c>
      <c r="D147" s="504"/>
    </row>
    <row r="148" spans="1:4" x14ac:dyDescent="0.25">
      <c r="A148" s="505" t="s">
        <v>808</v>
      </c>
      <c r="B148" s="231" t="s">
        <v>809</v>
      </c>
      <c r="C148" s="507" t="s">
        <v>810</v>
      </c>
      <c r="D148" s="504"/>
    </row>
    <row r="149" spans="1:4" ht="30" x14ac:dyDescent="0.25">
      <c r="A149" s="505" t="s">
        <v>1659</v>
      </c>
      <c r="B149" s="231" t="s">
        <v>1660</v>
      </c>
      <c r="C149" s="509" t="str">
        <f>PS_SP_FILENAME</f>
        <v>PS-6.2.7.0-58.zip</v>
      </c>
      <c r="D149" s="510" t="s">
        <v>1250</v>
      </c>
    </row>
    <row r="150" spans="1:4" ht="30" x14ac:dyDescent="0.25">
      <c r="A150" s="505" t="s">
        <v>536</v>
      </c>
      <c r="B150" s="231" t="s">
        <v>537</v>
      </c>
      <c r="C150" s="231" t="s">
        <v>538</v>
      </c>
      <c r="D150" s="504"/>
    </row>
    <row r="151" spans="1:4" ht="30" x14ac:dyDescent="0.25">
      <c r="A151" s="505" t="s">
        <v>1661</v>
      </c>
      <c r="B151" s="231" t="s">
        <v>1</v>
      </c>
      <c r="C151" s="231" t="s">
        <v>1</v>
      </c>
      <c r="D151" s="504"/>
    </row>
    <row r="152" spans="1:4" x14ac:dyDescent="0.25">
      <c r="A152" s="505" t="s">
        <v>539</v>
      </c>
      <c r="B152" s="231" t="s">
        <v>540</v>
      </c>
      <c r="C152" s="231" t="s">
        <v>541</v>
      </c>
      <c r="D152" s="504"/>
    </row>
    <row r="153" spans="1:4" x14ac:dyDescent="0.25">
      <c r="A153" s="505" t="s">
        <v>814</v>
      </c>
      <c r="B153" s="231" t="s">
        <v>815</v>
      </c>
      <c r="C153" s="231" t="s">
        <v>818</v>
      </c>
      <c r="D153" s="504"/>
    </row>
    <row r="154" spans="1:4" ht="15.75" thickBot="1" x14ac:dyDescent="0.3">
      <c r="A154" s="420" t="s">
        <v>816</v>
      </c>
      <c r="B154" s="524" t="s">
        <v>459</v>
      </c>
      <c r="C154" s="524" t="s">
        <v>819</v>
      </c>
      <c r="D154" s="564"/>
    </row>
    <row r="155" spans="1:4" ht="15.75" thickTop="1" x14ac:dyDescent="0.25">
      <c r="A155" s="547"/>
      <c r="B155" s="525"/>
      <c r="C155" s="525"/>
      <c r="D155" s="566"/>
    </row>
    <row r="156" spans="1:4" x14ac:dyDescent="0.25">
      <c r="A156" s="603" t="s">
        <v>1705</v>
      </c>
      <c r="B156" s="606"/>
      <c r="C156" s="606"/>
      <c r="D156" s="607"/>
    </row>
    <row r="157" spans="1:4" x14ac:dyDescent="0.25">
      <c r="A157" s="548"/>
      <c r="B157" s="526"/>
      <c r="C157" s="526"/>
      <c r="D157" s="567"/>
    </row>
    <row r="158" spans="1:4" ht="30" x14ac:dyDescent="0.25">
      <c r="A158" s="500" t="s">
        <v>1678</v>
      </c>
      <c r="B158" s="527"/>
      <c r="C158" s="527"/>
      <c r="D158" s="568"/>
    </row>
    <row r="159" spans="1:4" x14ac:dyDescent="0.25">
      <c r="A159" s="544" t="s">
        <v>1677</v>
      </c>
      <c r="B159" s="231" t="s">
        <v>1676</v>
      </c>
      <c r="C159" s="520" t="str">
        <f>CONCATENATE("admin/",ADMINPASS)</f>
        <v>admin/</v>
      </c>
      <c r="D159" s="569"/>
    </row>
    <row r="160" spans="1:4" ht="36" customHeight="1" x14ac:dyDescent="0.25">
      <c r="A160" s="544" t="s">
        <v>1679</v>
      </c>
      <c r="B160" s="231" t="s">
        <v>543</v>
      </c>
      <c r="C160" s="231" t="s">
        <v>1674</v>
      </c>
      <c r="D160" s="569"/>
    </row>
    <row r="161" spans="1:4" ht="30" x14ac:dyDescent="0.25">
      <c r="A161" s="544" t="s">
        <v>1680</v>
      </c>
      <c r="B161" s="506" t="s">
        <v>543</v>
      </c>
      <c r="C161" s="506" t="s">
        <v>1675</v>
      </c>
      <c r="D161" s="569"/>
    </row>
    <row r="162" spans="1:4" x14ac:dyDescent="0.25">
      <c r="A162" s="544" t="s">
        <v>1681</v>
      </c>
      <c r="B162" s="506" t="s">
        <v>1682</v>
      </c>
      <c r="C162" s="506" t="s">
        <v>1683</v>
      </c>
      <c r="D162" s="569"/>
    </row>
    <row r="163" spans="1:4" x14ac:dyDescent="0.25">
      <c r="A163" s="544"/>
      <c r="B163" s="506"/>
      <c r="C163" s="506"/>
      <c r="D163" s="569"/>
    </row>
    <row r="164" spans="1:4" ht="30" x14ac:dyDescent="0.25">
      <c r="A164" s="500" t="s">
        <v>1710</v>
      </c>
      <c r="B164" s="506"/>
      <c r="C164" s="506"/>
      <c r="D164" s="569"/>
    </row>
    <row r="165" spans="1:4" x14ac:dyDescent="0.25">
      <c r="A165" s="544" t="s">
        <v>1684</v>
      </c>
      <c r="B165" s="506" t="s">
        <v>389</v>
      </c>
      <c r="C165" s="506" t="s">
        <v>1685</v>
      </c>
      <c r="D165" s="569"/>
    </row>
    <row r="166" spans="1:4" ht="30" x14ac:dyDescent="0.25">
      <c r="A166" s="544" t="s">
        <v>1686</v>
      </c>
      <c r="B166" s="231" t="s">
        <v>460</v>
      </c>
      <c r="C166" s="519" t="s">
        <v>1687</v>
      </c>
      <c r="D166" s="569"/>
    </row>
    <row r="167" spans="1:4" ht="30" x14ac:dyDescent="0.25">
      <c r="A167" s="544" t="s">
        <v>1689</v>
      </c>
      <c r="B167" s="506" t="s">
        <v>43</v>
      </c>
      <c r="C167" s="506" t="s">
        <v>1688</v>
      </c>
      <c r="D167" s="569"/>
    </row>
    <row r="168" spans="1:4" ht="30" x14ac:dyDescent="0.25">
      <c r="A168" s="544" t="s">
        <v>1690</v>
      </c>
      <c r="B168" s="506" t="s">
        <v>142</v>
      </c>
      <c r="C168" s="506" t="s">
        <v>1688</v>
      </c>
      <c r="D168" s="569"/>
    </row>
    <row r="169" spans="1:4" x14ac:dyDescent="0.25">
      <c r="A169" s="544" t="s">
        <v>1693</v>
      </c>
      <c r="B169" s="506" t="s">
        <v>1691</v>
      </c>
      <c r="C169" s="506" t="s">
        <v>1692</v>
      </c>
      <c r="D169" s="569"/>
    </row>
    <row r="170" spans="1:4" x14ac:dyDescent="0.25">
      <c r="A170" s="544" t="s">
        <v>1694</v>
      </c>
      <c r="B170" s="231" t="s">
        <v>117</v>
      </c>
      <c r="C170" s="231" t="s">
        <v>309</v>
      </c>
      <c r="D170" s="569"/>
    </row>
    <row r="171" spans="1:4" x14ac:dyDescent="0.25">
      <c r="A171" s="544" t="s">
        <v>1696</v>
      </c>
      <c r="B171" s="231" t="s">
        <v>1695</v>
      </c>
      <c r="C171" s="231" t="s">
        <v>1697</v>
      </c>
      <c r="D171" s="569"/>
    </row>
    <row r="172" spans="1:4" x14ac:dyDescent="0.25">
      <c r="A172" s="506"/>
      <c r="B172" s="506"/>
      <c r="C172" s="506"/>
      <c r="D172" s="569"/>
    </row>
    <row r="173" spans="1:4" ht="30" x14ac:dyDescent="0.25">
      <c r="A173" s="549" t="s">
        <v>1698</v>
      </c>
      <c r="B173" s="527"/>
      <c r="C173" s="527"/>
      <c r="D173" s="568"/>
    </row>
    <row r="174" spans="1:4" ht="75" x14ac:dyDescent="0.25">
      <c r="A174" s="505" t="s">
        <v>1615</v>
      </c>
      <c r="B174" s="231" t="s">
        <v>460</v>
      </c>
      <c r="C174" s="231" t="s">
        <v>1616</v>
      </c>
      <c r="D174" s="570" t="s">
        <v>1251</v>
      </c>
    </row>
    <row r="175" spans="1:4" x14ac:dyDescent="0.25">
      <c r="A175" s="505" t="s">
        <v>1628</v>
      </c>
      <c r="B175" s="231" t="s">
        <v>1629</v>
      </c>
      <c r="C175" s="231" t="s">
        <v>131</v>
      </c>
      <c r="D175" s="510"/>
    </row>
    <row r="176" spans="1:4" x14ac:dyDescent="0.25">
      <c r="A176" s="505" t="s">
        <v>823</v>
      </c>
      <c r="B176" s="231" t="s">
        <v>542</v>
      </c>
      <c r="C176" s="509">
        <f>PS6IP</f>
        <v>0</v>
      </c>
      <c r="D176" s="504"/>
    </row>
    <row r="177" spans="1:4" x14ac:dyDescent="0.25">
      <c r="A177" s="505" t="s">
        <v>1625</v>
      </c>
      <c r="B177" s="231" t="s">
        <v>820</v>
      </c>
      <c r="C177" s="506" t="s">
        <v>817</v>
      </c>
      <c r="D177" s="504"/>
    </row>
    <row r="178" spans="1:4" ht="30" x14ac:dyDescent="0.25">
      <c r="A178" s="505" t="s">
        <v>1626</v>
      </c>
      <c r="B178" s="231" t="s">
        <v>105</v>
      </c>
      <c r="C178" s="231" t="s">
        <v>1524</v>
      </c>
      <c r="D178" s="510" t="s">
        <v>1631</v>
      </c>
    </row>
    <row r="179" spans="1:4" ht="30" x14ac:dyDescent="0.25">
      <c r="A179" s="362" t="s">
        <v>1622</v>
      </c>
      <c r="B179" s="519" t="s">
        <v>543</v>
      </c>
      <c r="C179" s="519" t="s">
        <v>1627</v>
      </c>
      <c r="D179" s="510"/>
    </row>
    <row r="180" spans="1:4" ht="30" x14ac:dyDescent="0.25">
      <c r="A180" s="362" t="s">
        <v>1623</v>
      </c>
      <c r="B180" s="519" t="s">
        <v>543</v>
      </c>
      <c r="C180" s="509" t="str">
        <f>CONCATENATE("unzip ",PS_SP_FILENAME," -d"," PS-INSTALLER")</f>
        <v>unzip PS-6.2.7.0-58.zip -d PS-INSTALLER</v>
      </c>
      <c r="D180" s="510"/>
    </row>
    <row r="181" spans="1:4" x14ac:dyDescent="0.25">
      <c r="A181" s="505" t="s">
        <v>1617</v>
      </c>
      <c r="B181" s="231" t="s">
        <v>543</v>
      </c>
      <c r="C181" s="506" t="s">
        <v>1618</v>
      </c>
      <c r="D181" s="508"/>
    </row>
    <row r="182" spans="1:4" ht="30" x14ac:dyDescent="0.25">
      <c r="A182" s="362" t="s">
        <v>1624</v>
      </c>
      <c r="B182" s="519" t="s">
        <v>543</v>
      </c>
      <c r="C182" s="519" t="s">
        <v>1632</v>
      </c>
      <c r="D182" s="571"/>
    </row>
    <row r="183" spans="1:4" ht="30" x14ac:dyDescent="0.25">
      <c r="A183" s="362" t="s">
        <v>1620</v>
      </c>
      <c r="B183" s="519" t="s">
        <v>1621</v>
      </c>
      <c r="C183" s="519" t="s">
        <v>1619</v>
      </c>
      <c r="D183" s="510" t="s">
        <v>1699</v>
      </c>
    </row>
    <row r="184" spans="1:4" ht="45" x14ac:dyDescent="0.25">
      <c r="A184" s="505" t="s">
        <v>1613</v>
      </c>
      <c r="B184" s="231" t="s">
        <v>543</v>
      </c>
      <c r="C184" s="231" t="s">
        <v>1248</v>
      </c>
      <c r="D184" s="510" t="s">
        <v>1614</v>
      </c>
    </row>
    <row r="185" spans="1:4" ht="195" x14ac:dyDescent="0.25">
      <c r="A185" s="505" t="s">
        <v>1662</v>
      </c>
      <c r="B185" s="231" t="s">
        <v>543</v>
      </c>
      <c r="C185" s="231" t="str">
        <f>CONCATENATE("./",LEFT(PS_SP_FILENAME,LEN(PS_SP_FILENAME)-4),".sh"," -ci autoUpgrade_PS.properties")</f>
        <v>./PS-6.2.7.0-58.sh -ci autoUpgrade_PS.properties</v>
      </c>
      <c r="D185" s="510" t="s">
        <v>1749</v>
      </c>
    </row>
    <row r="186" spans="1:4" ht="30" x14ac:dyDescent="0.25">
      <c r="A186" s="505" t="s">
        <v>1663</v>
      </c>
      <c r="B186" s="231" t="s">
        <v>219</v>
      </c>
      <c r="C186" s="528" t="str">
        <f>CONCATENATE("https://",PS6IP,":7300/admin")</f>
        <v>https://:7300/admin</v>
      </c>
      <c r="D186" s="572" t="s">
        <v>1551</v>
      </c>
    </row>
    <row r="187" spans="1:4" x14ac:dyDescent="0.25">
      <c r="A187" s="422" t="s">
        <v>487</v>
      </c>
      <c r="B187" s="387" t="s">
        <v>42</v>
      </c>
      <c r="C187" s="529" t="s">
        <v>1524</v>
      </c>
      <c r="D187" s="573"/>
    </row>
    <row r="188" spans="1:4" ht="60" x14ac:dyDescent="0.25">
      <c r="A188" s="550" t="s">
        <v>323</v>
      </c>
      <c r="B188" s="386" t="s">
        <v>321</v>
      </c>
      <c r="C188" s="530" t="s">
        <v>322</v>
      </c>
      <c r="D188" s="574" t="s">
        <v>1552</v>
      </c>
    </row>
    <row r="189" spans="1:4" ht="15.75" thickBot="1" x14ac:dyDescent="0.3">
      <c r="A189" s="531"/>
      <c r="B189" s="531"/>
      <c r="C189" s="531"/>
      <c r="D189" s="575"/>
    </row>
    <row r="190" spans="1:4" ht="36" customHeight="1" thickTop="1" x14ac:dyDescent="0.25">
      <c r="A190" s="600" t="s">
        <v>1850</v>
      </c>
      <c r="B190" s="601"/>
      <c r="C190" s="601"/>
      <c r="D190" s="602"/>
    </row>
    <row r="191" spans="1:4" x14ac:dyDescent="0.25">
      <c r="A191" s="551"/>
      <c r="B191" s="532"/>
      <c r="C191" s="532"/>
      <c r="D191" s="576"/>
    </row>
    <row r="192" spans="1:4" ht="30" x14ac:dyDescent="0.25">
      <c r="A192" s="500" t="s">
        <v>1851</v>
      </c>
      <c r="C192" s="509"/>
      <c r="D192" s="508"/>
    </row>
    <row r="193" spans="1:4" x14ac:dyDescent="0.25">
      <c r="A193" s="549"/>
      <c r="B193" s="560"/>
      <c r="C193" s="533"/>
      <c r="D193" s="577"/>
    </row>
    <row r="194" spans="1:4" ht="36" customHeight="1" x14ac:dyDescent="0.25">
      <c r="A194" s="603" t="s">
        <v>1706</v>
      </c>
      <c r="B194" s="606"/>
      <c r="C194" s="606"/>
      <c r="D194" s="607"/>
    </row>
    <row r="195" spans="1:4" x14ac:dyDescent="0.25">
      <c r="A195" s="549"/>
      <c r="B195" s="560"/>
      <c r="C195" s="533"/>
      <c r="D195" s="577"/>
    </row>
    <row r="196" spans="1:4" x14ac:dyDescent="0.25">
      <c r="A196" s="505" t="s">
        <v>822</v>
      </c>
      <c r="B196" s="231" t="s">
        <v>533</v>
      </c>
      <c r="C196" s="509">
        <f>PS6IP</f>
        <v>0</v>
      </c>
      <c r="D196" s="504"/>
    </row>
    <row r="197" spans="1:4" ht="60" x14ac:dyDescent="0.25">
      <c r="A197" s="505" t="s">
        <v>534</v>
      </c>
      <c r="B197" s="231" t="s">
        <v>535</v>
      </c>
      <c r="C197" s="506" t="s">
        <v>1524</v>
      </c>
      <c r="D197" s="510" t="s">
        <v>1664</v>
      </c>
    </row>
    <row r="198" spans="1:4" ht="30" x14ac:dyDescent="0.25">
      <c r="A198" s="505" t="s">
        <v>811</v>
      </c>
      <c r="B198" s="231" t="s">
        <v>812</v>
      </c>
      <c r="C198" s="506" t="s">
        <v>813</v>
      </c>
      <c r="D198" s="504"/>
    </row>
    <row r="199" spans="1:4" x14ac:dyDescent="0.25">
      <c r="A199" s="505" t="s">
        <v>808</v>
      </c>
      <c r="B199" s="231" t="s">
        <v>809</v>
      </c>
      <c r="C199" s="506" t="s">
        <v>810</v>
      </c>
      <c r="D199" s="504"/>
    </row>
    <row r="200" spans="1:4" ht="15" customHeight="1" x14ac:dyDescent="0.25">
      <c r="A200" s="586" t="s">
        <v>1526</v>
      </c>
      <c r="B200" s="586" t="s">
        <v>1527</v>
      </c>
      <c r="C200" s="509" t="str">
        <f>PS_PATCH1_FILENAME</f>
        <v>PS-6.2.7.1-58.zip</v>
      </c>
      <c r="D200" s="585" t="s">
        <v>1532</v>
      </c>
    </row>
    <row r="201" spans="1:4" ht="30" x14ac:dyDescent="0.25">
      <c r="A201" s="505" t="s">
        <v>536</v>
      </c>
      <c r="B201" s="231" t="s">
        <v>537</v>
      </c>
      <c r="C201" s="231" t="s">
        <v>538</v>
      </c>
      <c r="D201" s="504"/>
    </row>
    <row r="202" spans="1:4" ht="30" x14ac:dyDescent="0.25">
      <c r="A202" s="505" t="s">
        <v>1528</v>
      </c>
      <c r="B202" s="231" t="s">
        <v>1</v>
      </c>
      <c r="C202" s="231" t="s">
        <v>1</v>
      </c>
      <c r="D202" s="504"/>
    </row>
    <row r="203" spans="1:4" x14ac:dyDescent="0.25">
      <c r="A203" s="505" t="s">
        <v>539</v>
      </c>
      <c r="B203" s="231" t="s">
        <v>540</v>
      </c>
      <c r="C203" s="231" t="s">
        <v>541</v>
      </c>
      <c r="D203" s="504"/>
    </row>
    <row r="204" spans="1:4" x14ac:dyDescent="0.25">
      <c r="A204" s="505" t="s">
        <v>814</v>
      </c>
      <c r="B204" s="231" t="s">
        <v>815</v>
      </c>
      <c r="C204" s="231" t="s">
        <v>818</v>
      </c>
      <c r="D204" s="504"/>
    </row>
    <row r="205" spans="1:4" x14ac:dyDescent="0.25">
      <c r="A205" s="505" t="s">
        <v>816</v>
      </c>
      <c r="B205" s="231" t="s">
        <v>459</v>
      </c>
      <c r="C205" s="231" t="s">
        <v>819</v>
      </c>
      <c r="D205" s="504"/>
    </row>
    <row r="206" spans="1:4" ht="15.75" thickBot="1" x14ac:dyDescent="0.3">
      <c r="A206" s="552"/>
      <c r="B206" s="534"/>
      <c r="C206" s="534"/>
      <c r="D206" s="578"/>
    </row>
    <row r="207" spans="1:4" ht="15.75" thickTop="1" x14ac:dyDescent="0.25">
      <c r="A207" s="553"/>
      <c r="B207" s="535"/>
      <c r="C207" s="535"/>
      <c r="D207" s="579"/>
    </row>
    <row r="208" spans="1:4" x14ac:dyDescent="0.25">
      <c r="A208" s="603" t="s">
        <v>1827</v>
      </c>
      <c r="B208" s="606"/>
      <c r="C208" s="606"/>
      <c r="D208" s="607"/>
    </row>
    <row r="209" spans="1:4" x14ac:dyDescent="0.25">
      <c r="A209" s="554"/>
      <c r="B209" s="536"/>
      <c r="C209" s="536"/>
      <c r="D209" s="580"/>
    </row>
    <row r="210" spans="1:4" ht="30" x14ac:dyDescent="0.25">
      <c r="A210" s="555" t="s">
        <v>1852</v>
      </c>
      <c r="B210" s="419"/>
      <c r="C210" s="419"/>
      <c r="D210" s="581"/>
    </row>
    <row r="211" spans="1:4" x14ac:dyDescent="0.25">
      <c r="A211" s="505" t="s">
        <v>823</v>
      </c>
      <c r="B211" s="231" t="s">
        <v>542</v>
      </c>
      <c r="C211" s="509">
        <f>PS6IP</f>
        <v>0</v>
      </c>
      <c r="D211" s="504"/>
    </row>
    <row r="212" spans="1:4" x14ac:dyDescent="0.25">
      <c r="A212" s="505" t="s">
        <v>821</v>
      </c>
      <c r="B212" s="231" t="s">
        <v>820</v>
      </c>
      <c r="C212" s="506" t="s">
        <v>817</v>
      </c>
      <c r="D212" s="504"/>
    </row>
    <row r="213" spans="1:4" x14ac:dyDescent="0.25">
      <c r="A213" s="505" t="s">
        <v>1529</v>
      </c>
      <c r="B213" s="231" t="s">
        <v>105</v>
      </c>
      <c r="C213" s="231" t="s">
        <v>1524</v>
      </c>
      <c r="D213" s="504"/>
    </row>
    <row r="214" spans="1:4" ht="30" x14ac:dyDescent="0.25">
      <c r="A214" s="505" t="s">
        <v>1530</v>
      </c>
      <c r="B214" s="231" t="s">
        <v>543</v>
      </c>
      <c r="C214" s="231" t="s">
        <v>1531</v>
      </c>
      <c r="D214" s="508"/>
    </row>
    <row r="215" spans="1:4" x14ac:dyDescent="0.25">
      <c r="A215" s="505" t="s">
        <v>544</v>
      </c>
      <c r="B215" s="231" t="s">
        <v>543</v>
      </c>
      <c r="C215" s="231" t="s">
        <v>545</v>
      </c>
      <c r="D215" s="504"/>
    </row>
    <row r="216" spans="1:4" x14ac:dyDescent="0.25">
      <c r="A216" s="505" t="s">
        <v>1546</v>
      </c>
      <c r="B216" s="231" t="s">
        <v>543</v>
      </c>
      <c r="C216" s="509" t="str">
        <f>CONCATENATE("unzip ",PS_PATCH1_FILENAME)</f>
        <v>unzip PS-6.2.7.1-58.zip</v>
      </c>
      <c r="D216" s="508"/>
    </row>
    <row r="217" spans="1:4" x14ac:dyDescent="0.25">
      <c r="A217" s="505" t="s">
        <v>1235</v>
      </c>
      <c r="B217" s="231" t="s">
        <v>828</v>
      </c>
      <c r="C217" s="537" t="s">
        <v>1145</v>
      </c>
      <c r="D217" s="508"/>
    </row>
    <row r="218" spans="1:4" x14ac:dyDescent="0.25">
      <c r="A218" s="505" t="s">
        <v>1547</v>
      </c>
      <c r="B218" s="231" t="s">
        <v>543</v>
      </c>
      <c r="C218" s="231" t="s">
        <v>824</v>
      </c>
      <c r="D218" s="508"/>
    </row>
    <row r="219" spans="1:4" ht="45" x14ac:dyDescent="0.25">
      <c r="A219" s="505" t="s">
        <v>1247</v>
      </c>
      <c r="B219" s="231" t="s">
        <v>543</v>
      </c>
      <c r="C219" s="231" t="s">
        <v>1248</v>
      </c>
      <c r="D219" s="510" t="s">
        <v>1549</v>
      </c>
    </row>
    <row r="220" spans="1:4" ht="36" customHeight="1" x14ac:dyDescent="0.25">
      <c r="A220" s="505" t="s">
        <v>1545</v>
      </c>
      <c r="B220" s="231" t="s">
        <v>543</v>
      </c>
      <c r="C220" s="509" t="str">
        <f>IF(PS_PATCH1_FILENAME=0, "0",CONCATENATE("./",LEFT(PS_PATCH1_FILENAME,LEN(PS_PATCH1_FILENAME)-4),".sh"," -ci autoInstall_Presence_Services.properties"))</f>
        <v>./PS-6.2.7.1-58.sh -ci autoInstall_Presence_Services.properties</v>
      </c>
      <c r="D220" s="510" t="s">
        <v>1550</v>
      </c>
    </row>
    <row r="221" spans="1:4" ht="75" x14ac:dyDescent="0.25">
      <c r="A221" s="505" t="s">
        <v>1149</v>
      </c>
      <c r="B221" s="231" t="s">
        <v>543</v>
      </c>
      <c r="C221" s="231" t="s">
        <v>1150</v>
      </c>
      <c r="D221" s="510" t="s">
        <v>1525</v>
      </c>
    </row>
    <row r="222" spans="1:4" x14ac:dyDescent="0.25">
      <c r="A222" s="505" t="s">
        <v>825</v>
      </c>
      <c r="B222" s="231" t="s">
        <v>543</v>
      </c>
      <c r="C222" s="231" t="s">
        <v>826</v>
      </c>
      <c r="D222" s="508"/>
    </row>
    <row r="223" spans="1:4" ht="45" x14ac:dyDescent="0.25">
      <c r="A223" s="505" t="s">
        <v>1249</v>
      </c>
      <c r="B223" s="231" t="s">
        <v>543</v>
      </c>
      <c r="C223" s="231" t="s">
        <v>1248</v>
      </c>
      <c r="D223" s="510" t="s">
        <v>1630</v>
      </c>
    </row>
    <row r="224" spans="1:4" ht="30" x14ac:dyDescent="0.25">
      <c r="A224" s="505" t="s">
        <v>294</v>
      </c>
      <c r="B224" s="231" t="s">
        <v>219</v>
      </c>
      <c r="C224" s="528" t="str">
        <f>CONCATENATE("https://",PS6IP,":7300/admin")</f>
        <v>https://:7300/admin</v>
      </c>
      <c r="D224" s="572" t="s">
        <v>1551</v>
      </c>
    </row>
    <row r="225" spans="1:4" x14ac:dyDescent="0.25">
      <c r="A225" s="422" t="s">
        <v>487</v>
      </c>
      <c r="B225" s="387" t="s">
        <v>42</v>
      </c>
      <c r="C225" s="529" t="s">
        <v>1524</v>
      </c>
      <c r="D225" s="573"/>
    </row>
    <row r="226" spans="1:4" ht="60" x14ac:dyDescent="0.25">
      <c r="A226" s="550" t="s">
        <v>323</v>
      </c>
      <c r="B226" s="386" t="s">
        <v>321</v>
      </c>
      <c r="C226" s="530" t="s">
        <v>322</v>
      </c>
      <c r="D226" s="574" t="s">
        <v>1552</v>
      </c>
    </row>
    <row r="227" spans="1:4" x14ac:dyDescent="0.25">
      <c r="A227" s="556"/>
      <c r="B227" s="560"/>
      <c r="C227" s="538"/>
      <c r="D227" s="582"/>
    </row>
    <row r="228" spans="1:4" x14ac:dyDescent="0.25">
      <c r="A228" s="603" t="s">
        <v>1548</v>
      </c>
      <c r="B228" s="604"/>
      <c r="C228" s="604"/>
      <c r="D228" s="605"/>
    </row>
    <row r="229" spans="1:4" ht="15.75" thickBot="1" x14ac:dyDescent="0.3">
      <c r="A229" s="557"/>
      <c r="B229" s="539"/>
      <c r="C229" s="539"/>
      <c r="D229" s="583"/>
    </row>
    <row r="230" spans="1:4" ht="36" customHeight="1" thickTop="1" x14ac:dyDescent="0.25">
      <c r="A230" s="600" t="s">
        <v>1844</v>
      </c>
      <c r="B230" s="601"/>
      <c r="C230" s="601"/>
      <c r="D230" s="602"/>
    </row>
    <row r="231" spans="1:4" x14ac:dyDescent="0.25">
      <c r="A231" s="603"/>
      <c r="B231" s="606"/>
      <c r="C231" s="606"/>
      <c r="D231" s="607"/>
    </row>
    <row r="232" spans="1:4" ht="30" x14ac:dyDescent="0.25">
      <c r="A232" s="514" t="s">
        <v>1709</v>
      </c>
      <c r="B232" s="387"/>
      <c r="C232" s="387"/>
      <c r="D232" s="502"/>
    </row>
    <row r="233" spans="1:4" x14ac:dyDescent="0.25">
      <c r="A233" s="505" t="s">
        <v>637</v>
      </c>
      <c r="B233" s="231" t="s">
        <v>278</v>
      </c>
      <c r="C233" s="509">
        <f>CDOMIP</f>
        <v>0</v>
      </c>
      <c r="D233" s="510" t="s">
        <v>807</v>
      </c>
    </row>
    <row r="234" spans="1:4" x14ac:dyDescent="0.25">
      <c r="A234" s="505" t="s">
        <v>291</v>
      </c>
      <c r="B234" s="231" t="s">
        <v>215</v>
      </c>
      <c r="C234" s="231" t="str">
        <f>CONCATENATE("admin/",ADMINPASS)</f>
        <v>admin/</v>
      </c>
      <c r="D234" s="510" t="s">
        <v>807</v>
      </c>
    </row>
    <row r="235" spans="1:4" ht="30" x14ac:dyDescent="0.25">
      <c r="A235" s="505" t="s">
        <v>461</v>
      </c>
      <c r="B235" s="231" t="s">
        <v>460</v>
      </c>
      <c r="C235" s="231" t="s">
        <v>462</v>
      </c>
      <c r="D235" s="504"/>
    </row>
    <row r="236" spans="1:4" x14ac:dyDescent="0.25">
      <c r="A236" s="505" t="s">
        <v>464</v>
      </c>
      <c r="B236" s="231" t="s">
        <v>463</v>
      </c>
      <c r="C236" s="231" t="s">
        <v>355</v>
      </c>
      <c r="D236" s="504"/>
    </row>
    <row r="237" spans="1:4" x14ac:dyDescent="0.25">
      <c r="A237" s="505" t="s">
        <v>465</v>
      </c>
      <c r="B237" s="231" t="s">
        <v>356</v>
      </c>
      <c r="C237" s="231" t="s">
        <v>309</v>
      </c>
      <c r="D237" s="504"/>
    </row>
    <row r="238" spans="1:4" ht="36" customHeight="1" x14ac:dyDescent="0.25">
      <c r="A238" s="505" t="s">
        <v>466</v>
      </c>
      <c r="B238" s="231" t="s">
        <v>458</v>
      </c>
      <c r="C238" s="509" t="str">
        <f>CM_PATCH_FILENAME</f>
        <v>03.0.141.0-22901.tar</v>
      </c>
      <c r="D238" s="510" t="s">
        <v>1250</v>
      </c>
    </row>
    <row r="239" spans="1:4" x14ac:dyDescent="0.25">
      <c r="A239" s="505" t="s">
        <v>357</v>
      </c>
      <c r="B239" s="231" t="s">
        <v>358</v>
      </c>
      <c r="C239" s="231" t="s">
        <v>309</v>
      </c>
      <c r="D239" s="504"/>
    </row>
    <row r="240" spans="1:4" x14ac:dyDescent="0.25">
      <c r="A240" s="505" t="s">
        <v>467</v>
      </c>
      <c r="B240" s="231" t="s">
        <v>97</v>
      </c>
      <c r="C240" s="231" t="s">
        <v>309</v>
      </c>
      <c r="D240" s="504"/>
    </row>
    <row r="241" spans="1:4" x14ac:dyDescent="0.25">
      <c r="A241" s="505" t="s">
        <v>468</v>
      </c>
      <c r="B241" s="231" t="s">
        <v>459</v>
      </c>
      <c r="C241" s="231" t="s">
        <v>309</v>
      </c>
      <c r="D241" s="504"/>
    </row>
    <row r="242" spans="1:4" x14ac:dyDescent="0.25">
      <c r="A242" s="505" t="s">
        <v>469</v>
      </c>
      <c r="B242" s="231" t="s">
        <v>470</v>
      </c>
      <c r="C242" s="501" t="s">
        <v>635</v>
      </c>
      <c r="D242" s="504"/>
    </row>
    <row r="243" spans="1:4" x14ac:dyDescent="0.25">
      <c r="A243" s="505"/>
      <c r="B243" s="231"/>
      <c r="C243" s="501"/>
      <c r="D243" s="504"/>
    </row>
    <row r="244" spans="1:4" ht="30" x14ac:dyDescent="0.25">
      <c r="A244" s="500" t="s">
        <v>1713</v>
      </c>
      <c r="B244" s="231"/>
      <c r="C244" s="231"/>
      <c r="D244" s="504"/>
    </row>
    <row r="245" spans="1:4" x14ac:dyDescent="0.25">
      <c r="A245" s="505" t="s">
        <v>637</v>
      </c>
      <c r="B245" s="231" t="s">
        <v>278</v>
      </c>
      <c r="C245" s="509">
        <f>CDOMIP</f>
        <v>0</v>
      </c>
      <c r="D245" s="510" t="s">
        <v>807</v>
      </c>
    </row>
    <row r="246" spans="1:4" x14ac:dyDescent="0.25">
      <c r="A246" s="505" t="s">
        <v>291</v>
      </c>
      <c r="B246" s="231" t="s">
        <v>215</v>
      </c>
      <c r="C246" s="231" t="str">
        <f>CONCATENATE("admin/",ADMINPASS)</f>
        <v>admin/</v>
      </c>
      <c r="D246" s="510" t="s">
        <v>807</v>
      </c>
    </row>
    <row r="247" spans="1:4" ht="30" x14ac:dyDescent="0.25">
      <c r="A247" s="505" t="s">
        <v>461</v>
      </c>
      <c r="B247" s="231" t="s">
        <v>460</v>
      </c>
      <c r="C247" s="231" t="s">
        <v>462</v>
      </c>
      <c r="D247" s="504"/>
    </row>
    <row r="248" spans="1:4" x14ac:dyDescent="0.25">
      <c r="A248" s="505" t="s">
        <v>464</v>
      </c>
      <c r="B248" s="231" t="s">
        <v>463</v>
      </c>
      <c r="C248" s="231" t="s">
        <v>355</v>
      </c>
      <c r="D248" s="504"/>
    </row>
    <row r="249" spans="1:4" x14ac:dyDescent="0.25">
      <c r="A249" s="505" t="s">
        <v>465</v>
      </c>
      <c r="B249" s="231" t="s">
        <v>356</v>
      </c>
      <c r="C249" s="231" t="s">
        <v>309</v>
      </c>
      <c r="D249" s="504"/>
    </row>
    <row r="250" spans="1:4" ht="30" x14ac:dyDescent="0.25">
      <c r="A250" s="505" t="s">
        <v>466</v>
      </c>
      <c r="B250" s="231" t="s">
        <v>458</v>
      </c>
      <c r="C250" s="509" t="str">
        <f>CM_SSP_FILENAME</f>
        <v>PLAT-rhel5.3-3020.tar</v>
      </c>
      <c r="D250" s="510" t="s">
        <v>1250</v>
      </c>
    </row>
    <row r="251" spans="1:4" x14ac:dyDescent="0.25">
      <c r="A251" s="505" t="s">
        <v>357</v>
      </c>
      <c r="B251" s="231" t="s">
        <v>358</v>
      </c>
      <c r="C251" s="231" t="s">
        <v>309</v>
      </c>
      <c r="D251" s="504"/>
    </row>
    <row r="252" spans="1:4" ht="36" customHeight="1" x14ac:dyDescent="0.25">
      <c r="A252" s="505" t="s">
        <v>467</v>
      </c>
      <c r="B252" s="231" t="s">
        <v>97</v>
      </c>
      <c r="C252" s="231" t="s">
        <v>309</v>
      </c>
      <c r="D252" s="504"/>
    </row>
    <row r="253" spans="1:4" x14ac:dyDescent="0.25">
      <c r="A253" s="505" t="s">
        <v>468</v>
      </c>
      <c r="B253" s="231" t="s">
        <v>459</v>
      </c>
      <c r="C253" s="231" t="s">
        <v>309</v>
      </c>
      <c r="D253" s="504"/>
    </row>
    <row r="254" spans="1:4" x14ac:dyDescent="0.25">
      <c r="A254" s="505" t="s">
        <v>469</v>
      </c>
      <c r="B254" s="231" t="s">
        <v>470</v>
      </c>
      <c r="C254" s="501" t="s">
        <v>635</v>
      </c>
      <c r="D254" s="504"/>
    </row>
    <row r="255" spans="1:4" x14ac:dyDescent="0.25">
      <c r="A255" s="505"/>
      <c r="B255" s="231"/>
      <c r="C255" s="231"/>
      <c r="D255" s="504"/>
    </row>
    <row r="256" spans="1:4" ht="30" x14ac:dyDescent="0.25">
      <c r="A256" s="500" t="s">
        <v>1714</v>
      </c>
      <c r="B256" s="231"/>
      <c r="C256" s="231"/>
      <c r="D256" s="504"/>
    </row>
    <row r="257" spans="1:4" x14ac:dyDescent="0.25">
      <c r="A257" s="505" t="s">
        <v>637</v>
      </c>
      <c r="B257" s="231" t="s">
        <v>278</v>
      </c>
      <c r="C257" s="509">
        <f>CDOMIP</f>
        <v>0</v>
      </c>
      <c r="D257" s="510" t="s">
        <v>807</v>
      </c>
    </row>
    <row r="258" spans="1:4" x14ac:dyDescent="0.25">
      <c r="A258" s="505" t="s">
        <v>291</v>
      </c>
      <c r="B258" s="231" t="s">
        <v>215</v>
      </c>
      <c r="C258" s="231" t="str">
        <f>CONCATENATE("admin/",ADMINPASS)</f>
        <v>admin/</v>
      </c>
      <c r="D258" s="510" t="s">
        <v>807</v>
      </c>
    </row>
    <row r="259" spans="1:4" ht="30" x14ac:dyDescent="0.25">
      <c r="A259" s="505" t="s">
        <v>461</v>
      </c>
      <c r="B259" s="231" t="s">
        <v>460</v>
      </c>
      <c r="C259" s="231" t="s">
        <v>462</v>
      </c>
      <c r="D259" s="504"/>
    </row>
    <row r="260" spans="1:4" x14ac:dyDescent="0.25">
      <c r="A260" s="505" t="s">
        <v>464</v>
      </c>
      <c r="B260" s="231" t="s">
        <v>463</v>
      </c>
      <c r="C260" s="231" t="s">
        <v>355</v>
      </c>
      <c r="D260" s="504"/>
    </row>
    <row r="261" spans="1:4" x14ac:dyDescent="0.25">
      <c r="A261" s="505" t="s">
        <v>465</v>
      </c>
      <c r="B261" s="231" t="s">
        <v>356</v>
      </c>
      <c r="C261" s="231" t="s">
        <v>309</v>
      </c>
      <c r="D261" s="504"/>
    </row>
    <row r="262" spans="1:4" ht="30" x14ac:dyDescent="0.25">
      <c r="A262" s="505" t="s">
        <v>466</v>
      </c>
      <c r="B262" s="231" t="s">
        <v>458</v>
      </c>
      <c r="C262" s="509" t="str">
        <f>CM_KSP_FILENAME</f>
        <v>KERNEL-2.6.18-406.AV1.tar</v>
      </c>
      <c r="D262" s="510" t="s">
        <v>1250</v>
      </c>
    </row>
    <row r="263" spans="1:4" x14ac:dyDescent="0.25">
      <c r="A263" s="505" t="s">
        <v>357</v>
      </c>
      <c r="B263" s="231" t="s">
        <v>358</v>
      </c>
      <c r="C263" s="231" t="s">
        <v>309</v>
      </c>
      <c r="D263" s="504"/>
    </row>
    <row r="264" spans="1:4" x14ac:dyDescent="0.25">
      <c r="A264" s="505" t="s">
        <v>467</v>
      </c>
      <c r="B264" s="231" t="s">
        <v>97</v>
      </c>
      <c r="C264" s="231" t="s">
        <v>309</v>
      </c>
      <c r="D264" s="504"/>
    </row>
    <row r="265" spans="1:4" x14ac:dyDescent="0.25">
      <c r="A265" s="505" t="s">
        <v>468</v>
      </c>
      <c r="B265" s="231" t="s">
        <v>459</v>
      </c>
      <c r="C265" s="231" t="s">
        <v>309</v>
      </c>
      <c r="D265" s="504"/>
    </row>
    <row r="266" spans="1:4" ht="36" customHeight="1" x14ac:dyDescent="0.25">
      <c r="A266" s="505" t="s">
        <v>469</v>
      </c>
      <c r="B266" s="231" t="s">
        <v>470</v>
      </c>
      <c r="C266" s="501" t="s">
        <v>635</v>
      </c>
      <c r="D266" s="504"/>
    </row>
    <row r="267" spans="1:4" ht="15.75" thickBot="1" x14ac:dyDescent="0.3">
      <c r="A267" s="505"/>
      <c r="B267" s="231"/>
      <c r="C267" s="231"/>
      <c r="D267" s="504"/>
    </row>
    <row r="268" spans="1:4" ht="36" customHeight="1" thickTop="1" x14ac:dyDescent="0.25">
      <c r="A268" s="600" t="s">
        <v>1847</v>
      </c>
      <c r="B268" s="601"/>
      <c r="C268" s="601"/>
      <c r="D268" s="602"/>
    </row>
    <row r="269" spans="1:4" x14ac:dyDescent="0.25">
      <c r="A269" s="608"/>
      <c r="B269" s="604"/>
      <c r="C269" s="604"/>
      <c r="D269" s="605"/>
    </row>
    <row r="270" spans="1:4" ht="30" x14ac:dyDescent="0.25">
      <c r="A270" s="500" t="s">
        <v>1712</v>
      </c>
      <c r="B270" s="231"/>
      <c r="C270" s="231"/>
      <c r="D270" s="510"/>
    </row>
    <row r="271" spans="1:4" x14ac:dyDescent="0.25">
      <c r="A271" s="505" t="s">
        <v>636</v>
      </c>
      <c r="B271" s="231" t="s">
        <v>278</v>
      </c>
      <c r="C271" s="509">
        <f>CDOMIP</f>
        <v>0</v>
      </c>
      <c r="D271" s="510" t="s">
        <v>807</v>
      </c>
    </row>
    <row r="272" spans="1:4" x14ac:dyDescent="0.25">
      <c r="A272" s="505" t="s">
        <v>291</v>
      </c>
      <c r="B272" s="231" t="s">
        <v>215</v>
      </c>
      <c r="C272" s="231" t="str">
        <f>CONCATENATE("admin/",ADMINPASS)</f>
        <v>admin/</v>
      </c>
      <c r="D272" s="510" t="s">
        <v>807</v>
      </c>
    </row>
    <row r="273" spans="1:4" ht="30" x14ac:dyDescent="0.25">
      <c r="A273" s="505" t="s">
        <v>461</v>
      </c>
      <c r="B273" s="231" t="s">
        <v>460</v>
      </c>
      <c r="C273" s="506" t="s">
        <v>462</v>
      </c>
      <c r="D273" s="504"/>
    </row>
    <row r="274" spans="1:4" x14ac:dyDescent="0.25">
      <c r="A274" s="505" t="s">
        <v>464</v>
      </c>
      <c r="B274" s="231" t="s">
        <v>463</v>
      </c>
      <c r="C274" s="231" t="s">
        <v>355</v>
      </c>
      <c r="D274" s="504"/>
    </row>
    <row r="275" spans="1:4" x14ac:dyDescent="0.25">
      <c r="A275" s="505" t="s">
        <v>465</v>
      </c>
      <c r="B275" s="231" t="s">
        <v>356</v>
      </c>
      <c r="C275" s="231" t="s">
        <v>309</v>
      </c>
      <c r="D275" s="504"/>
    </row>
    <row r="276" spans="1:4" ht="30" x14ac:dyDescent="0.25">
      <c r="A276" s="505" t="s">
        <v>466</v>
      </c>
      <c r="B276" s="231" t="s">
        <v>458</v>
      </c>
      <c r="C276" s="509" t="str">
        <f>CMM_PATCH_FILENAME</f>
        <v>CMM-03.0.141.0-0600.tar</v>
      </c>
      <c r="D276" s="510" t="s">
        <v>1250</v>
      </c>
    </row>
    <row r="277" spans="1:4" x14ac:dyDescent="0.25">
      <c r="A277" s="505" t="s">
        <v>357</v>
      </c>
      <c r="B277" s="231" t="s">
        <v>358</v>
      </c>
      <c r="C277" s="231" t="s">
        <v>309</v>
      </c>
      <c r="D277" s="504"/>
    </row>
    <row r="278" spans="1:4" x14ac:dyDescent="0.25">
      <c r="A278" s="505" t="s">
        <v>467</v>
      </c>
      <c r="B278" s="231" t="s">
        <v>97</v>
      </c>
      <c r="C278" s="231" t="s">
        <v>309</v>
      </c>
      <c r="D278" s="504"/>
    </row>
    <row r="279" spans="1:4" x14ac:dyDescent="0.25">
      <c r="A279" s="505" t="s">
        <v>468</v>
      </c>
      <c r="B279" s="231" t="s">
        <v>459</v>
      </c>
      <c r="C279" s="231" t="s">
        <v>309</v>
      </c>
      <c r="D279" s="504"/>
    </row>
    <row r="280" spans="1:4" x14ac:dyDescent="0.25">
      <c r="A280" s="505" t="s">
        <v>469</v>
      </c>
      <c r="B280" s="231" t="s">
        <v>470</v>
      </c>
      <c r="C280" s="501" t="s">
        <v>635</v>
      </c>
      <c r="D280" s="504"/>
    </row>
    <row r="281" spans="1:4" ht="15.75" thickBot="1" x14ac:dyDescent="0.3">
      <c r="A281" s="505"/>
      <c r="B281" s="231"/>
      <c r="C281" s="231"/>
      <c r="D281" s="510"/>
    </row>
    <row r="282" spans="1:4" ht="36" customHeight="1" thickTop="1" x14ac:dyDescent="0.25">
      <c r="A282" s="600" t="s">
        <v>1845</v>
      </c>
      <c r="B282" s="601"/>
      <c r="C282" s="601"/>
      <c r="D282" s="602"/>
    </row>
    <row r="283" spans="1:4" x14ac:dyDescent="0.25">
      <c r="A283" s="603"/>
      <c r="B283" s="606"/>
      <c r="C283" s="606"/>
      <c r="D283" s="607"/>
    </row>
    <row r="284" spans="1:4" ht="45" x14ac:dyDescent="0.25">
      <c r="A284" s="500" t="s">
        <v>1707</v>
      </c>
      <c r="B284" s="231"/>
      <c r="C284" s="509"/>
      <c r="D284" s="510" t="s">
        <v>1806</v>
      </c>
    </row>
    <row r="285" spans="1:4" x14ac:dyDescent="0.25">
      <c r="A285" s="505" t="s">
        <v>636</v>
      </c>
      <c r="B285" s="231" t="s">
        <v>278</v>
      </c>
      <c r="C285" s="509">
        <f>CDOMIP</f>
        <v>0</v>
      </c>
      <c r="D285" s="510" t="s">
        <v>807</v>
      </c>
    </row>
    <row r="286" spans="1:4" x14ac:dyDescent="0.25">
      <c r="A286" s="505" t="s">
        <v>291</v>
      </c>
      <c r="B286" s="231" t="s">
        <v>215</v>
      </c>
      <c r="C286" s="231" t="str">
        <f>CONCATENATE("admin/",ADMINPASS)</f>
        <v>admin/</v>
      </c>
      <c r="D286" s="510" t="s">
        <v>807</v>
      </c>
    </row>
    <row r="287" spans="1:4" ht="30" x14ac:dyDescent="0.25">
      <c r="A287" s="505" t="s">
        <v>461</v>
      </c>
      <c r="B287" s="231" t="s">
        <v>460</v>
      </c>
      <c r="C287" s="231" t="s">
        <v>462</v>
      </c>
      <c r="D287" s="504"/>
    </row>
    <row r="288" spans="1:4" x14ac:dyDescent="0.25">
      <c r="A288" s="505" t="s">
        <v>464</v>
      </c>
      <c r="B288" s="231" t="s">
        <v>463</v>
      </c>
      <c r="C288" s="231" t="s">
        <v>355</v>
      </c>
      <c r="D288" s="504"/>
    </row>
    <row r="289" spans="1:4" x14ac:dyDescent="0.25">
      <c r="A289" s="505" t="s">
        <v>465</v>
      </c>
      <c r="B289" s="231" t="s">
        <v>356</v>
      </c>
      <c r="C289" s="231" t="s">
        <v>309</v>
      </c>
      <c r="D289" s="504"/>
    </row>
    <row r="290" spans="1:4" ht="30" x14ac:dyDescent="0.25">
      <c r="A290" s="505" t="s">
        <v>466</v>
      </c>
      <c r="B290" s="231" t="s">
        <v>458</v>
      </c>
      <c r="C290" s="509" t="str">
        <f>AES_PATCH_FILENAME</f>
        <v>aesvcs-6.3.3.0.10-1-featurepack.zip</v>
      </c>
      <c r="D290" s="510" t="s">
        <v>1250</v>
      </c>
    </row>
    <row r="291" spans="1:4" x14ac:dyDescent="0.25">
      <c r="A291" s="505" t="s">
        <v>357</v>
      </c>
      <c r="B291" s="231" t="s">
        <v>358</v>
      </c>
      <c r="C291" s="231" t="s">
        <v>309</v>
      </c>
      <c r="D291" s="504"/>
    </row>
    <row r="292" spans="1:4" x14ac:dyDescent="0.25">
      <c r="A292" s="505" t="s">
        <v>467</v>
      </c>
      <c r="B292" s="231" t="s">
        <v>97</v>
      </c>
      <c r="C292" s="231" t="s">
        <v>309</v>
      </c>
      <c r="D292" s="504"/>
    </row>
    <row r="293" spans="1:4" x14ac:dyDescent="0.25">
      <c r="A293" s="505" t="s">
        <v>468</v>
      </c>
      <c r="B293" s="231" t="s">
        <v>459</v>
      </c>
      <c r="C293" s="231" t="s">
        <v>309</v>
      </c>
      <c r="D293" s="504"/>
    </row>
    <row r="294" spans="1:4" x14ac:dyDescent="0.25">
      <c r="A294" s="505" t="s">
        <v>469</v>
      </c>
      <c r="B294" s="231" t="s">
        <v>470</v>
      </c>
      <c r="C294" s="501" t="s">
        <v>635</v>
      </c>
      <c r="D294" s="504"/>
    </row>
    <row r="295" spans="1:4" ht="15.75" thickBot="1" x14ac:dyDescent="0.3">
      <c r="A295" s="500"/>
      <c r="B295" s="231"/>
      <c r="C295" s="501"/>
      <c r="D295" s="504"/>
    </row>
    <row r="296" spans="1:4" ht="36" customHeight="1" thickTop="1" x14ac:dyDescent="0.25">
      <c r="A296" s="600" t="s">
        <v>1900</v>
      </c>
      <c r="B296" s="601"/>
      <c r="C296" s="601"/>
      <c r="D296" s="602"/>
    </row>
    <row r="297" spans="1:4" x14ac:dyDescent="0.25">
      <c r="A297" s="603"/>
      <c r="B297" s="606"/>
      <c r="C297" s="606"/>
      <c r="D297" s="607"/>
    </row>
    <row r="298" spans="1:4" ht="30" x14ac:dyDescent="0.25">
      <c r="A298" s="514" t="s">
        <v>1853</v>
      </c>
      <c r="B298" s="387"/>
      <c r="C298" s="540"/>
      <c r="D298" s="502"/>
    </row>
    <row r="299" spans="1:4" ht="30" x14ac:dyDescent="0.25">
      <c r="A299" s="505" t="s">
        <v>1842</v>
      </c>
      <c r="B299" s="231" t="s">
        <v>460</v>
      </c>
      <c r="C299" s="519" t="s">
        <v>1237</v>
      </c>
      <c r="D299" s="502"/>
    </row>
    <row r="300" spans="1:4" x14ac:dyDescent="0.25">
      <c r="A300" s="422" t="s">
        <v>1831</v>
      </c>
      <c r="B300" s="231" t="s">
        <v>1828</v>
      </c>
      <c r="C300" s="231" t="s">
        <v>1829</v>
      </c>
      <c r="D300" s="502"/>
    </row>
    <row r="301" spans="1:4" x14ac:dyDescent="0.25">
      <c r="A301" s="422" t="s">
        <v>1832</v>
      </c>
      <c r="B301" s="231" t="s">
        <v>215</v>
      </c>
      <c r="C301" s="231" t="str">
        <f>CONCATENATE("admin/",ADMINPASS)</f>
        <v>admin/</v>
      </c>
      <c r="D301" s="502"/>
    </row>
    <row r="302" spans="1:4" x14ac:dyDescent="0.25">
      <c r="A302" s="511" t="s">
        <v>1840</v>
      </c>
      <c r="B302" s="387" t="s">
        <v>460</v>
      </c>
      <c r="C302" s="513" t="s">
        <v>1830</v>
      </c>
      <c r="D302" s="502"/>
    </row>
    <row r="303" spans="1:4" x14ac:dyDescent="0.25">
      <c r="A303" s="511" t="s">
        <v>1841</v>
      </c>
      <c r="B303" s="387" t="s">
        <v>1833</v>
      </c>
      <c r="C303" s="513"/>
      <c r="D303" s="502"/>
    </row>
    <row r="304" spans="1:4" ht="45" x14ac:dyDescent="0.25">
      <c r="A304" s="511" t="s">
        <v>1839</v>
      </c>
      <c r="B304" s="561" t="s">
        <v>1835</v>
      </c>
      <c r="C304" s="513" t="s">
        <v>1834</v>
      </c>
      <c r="D304" s="502"/>
    </row>
    <row r="305" spans="1:4" ht="30" x14ac:dyDescent="0.25">
      <c r="A305" s="511" t="s">
        <v>1838</v>
      </c>
      <c r="B305" s="387" t="s">
        <v>1837</v>
      </c>
      <c r="C305" s="540" t="s">
        <v>1836</v>
      </c>
      <c r="D305" s="502"/>
    </row>
    <row r="306" spans="1:4" x14ac:dyDescent="0.25">
      <c r="A306" s="514"/>
      <c r="B306" s="387"/>
      <c r="C306" s="540"/>
      <c r="D306" s="504"/>
    </row>
    <row r="307" spans="1:4" ht="30" x14ac:dyDescent="0.25">
      <c r="A307" s="500" t="s">
        <v>1792</v>
      </c>
      <c r="B307" s="231"/>
      <c r="C307" s="501"/>
      <c r="D307" s="502"/>
    </row>
    <row r="308" spans="1:4" x14ac:dyDescent="0.25">
      <c r="A308" s="422" t="s">
        <v>1793</v>
      </c>
      <c r="B308" s="387" t="s">
        <v>533</v>
      </c>
      <c r="C308" s="503">
        <f>AESIP</f>
        <v>0</v>
      </c>
      <c r="D308" s="504"/>
    </row>
    <row r="309" spans="1:4" x14ac:dyDescent="0.25">
      <c r="A309" s="505" t="s">
        <v>1794</v>
      </c>
      <c r="B309" s="231" t="s">
        <v>215</v>
      </c>
      <c r="C309" s="506" t="str">
        <f>CONCATENATE("admin/",ADMINPASS)</f>
        <v>admin/</v>
      </c>
      <c r="D309" s="504"/>
    </row>
    <row r="310" spans="1:4" ht="30" x14ac:dyDescent="0.25">
      <c r="A310" s="505" t="s">
        <v>811</v>
      </c>
      <c r="B310" s="231" t="s">
        <v>812</v>
      </c>
      <c r="C310" s="506" t="s">
        <v>813</v>
      </c>
      <c r="D310" s="504"/>
    </row>
    <row r="311" spans="1:4" x14ac:dyDescent="0.25">
      <c r="A311" s="505" t="s">
        <v>1722</v>
      </c>
      <c r="B311" s="231" t="s">
        <v>809</v>
      </c>
      <c r="C311" s="507" t="s">
        <v>810</v>
      </c>
      <c r="D311" s="508"/>
    </row>
    <row r="312" spans="1:4" ht="30" x14ac:dyDescent="0.25">
      <c r="A312" s="505" t="s">
        <v>1795</v>
      </c>
      <c r="B312" s="231" t="s">
        <v>1796</v>
      </c>
      <c r="C312" s="509" t="str">
        <f>AES_LSU_PATCH_FILENAME</f>
        <v>2014.06.18-LSU-Patch-RHEL5U10.bin</v>
      </c>
      <c r="D312" s="510" t="s">
        <v>1250</v>
      </c>
    </row>
    <row r="313" spans="1:4" ht="30" x14ac:dyDescent="0.25">
      <c r="A313" s="505" t="s">
        <v>1721</v>
      </c>
      <c r="B313" s="231" t="s">
        <v>537</v>
      </c>
      <c r="C313" s="231" t="s">
        <v>538</v>
      </c>
      <c r="D313" s="504"/>
    </row>
    <row r="314" spans="1:4" ht="30" x14ac:dyDescent="0.25">
      <c r="A314" s="505" t="s">
        <v>1661</v>
      </c>
      <c r="B314" s="231" t="s">
        <v>1</v>
      </c>
      <c r="C314" s="231" t="s">
        <v>1</v>
      </c>
      <c r="D314" s="504"/>
    </row>
    <row r="315" spans="1:4" x14ac:dyDescent="0.25">
      <c r="A315" s="505" t="s">
        <v>539</v>
      </c>
      <c r="B315" s="231" t="s">
        <v>540</v>
      </c>
      <c r="C315" s="231" t="s">
        <v>541</v>
      </c>
      <c r="D315" s="504"/>
    </row>
    <row r="316" spans="1:4" x14ac:dyDescent="0.25">
      <c r="A316" s="505" t="s">
        <v>1647</v>
      </c>
      <c r="B316" s="231" t="s">
        <v>815</v>
      </c>
      <c r="C316" s="231" t="s">
        <v>818</v>
      </c>
      <c r="D316" s="504"/>
    </row>
    <row r="317" spans="1:4" x14ac:dyDescent="0.25">
      <c r="A317" s="505" t="s">
        <v>1648</v>
      </c>
      <c r="B317" s="231" t="s">
        <v>459</v>
      </c>
      <c r="C317" s="231" t="s">
        <v>819</v>
      </c>
      <c r="D317" s="502"/>
    </row>
    <row r="318" spans="1:4" x14ac:dyDescent="0.25">
      <c r="A318" s="422" t="s">
        <v>1797</v>
      </c>
      <c r="B318" s="387" t="s">
        <v>1798</v>
      </c>
      <c r="C318" s="503">
        <f>AESIP</f>
        <v>0</v>
      </c>
      <c r="D318" s="502"/>
    </row>
    <row r="319" spans="1:4" x14ac:dyDescent="0.25">
      <c r="A319" s="505" t="s">
        <v>1649</v>
      </c>
      <c r="B319" s="231" t="s">
        <v>820</v>
      </c>
      <c r="C319" s="506" t="s">
        <v>817</v>
      </c>
      <c r="D319" s="502"/>
    </row>
    <row r="320" spans="1:4" x14ac:dyDescent="0.25">
      <c r="A320" s="511" t="s">
        <v>1800</v>
      </c>
      <c r="B320" s="231" t="s">
        <v>215</v>
      </c>
      <c r="C320" s="506" t="str">
        <f>CONCATENATE("admin/",ADMINPASS)</f>
        <v>admin/</v>
      </c>
      <c r="D320" s="502"/>
    </row>
    <row r="321" spans="1:4" x14ac:dyDescent="0.25">
      <c r="A321" s="512" t="s">
        <v>1799</v>
      </c>
      <c r="B321" s="387" t="s">
        <v>543</v>
      </c>
      <c r="C321" s="513" t="s">
        <v>1802</v>
      </c>
      <c r="D321" s="502"/>
    </row>
    <row r="322" spans="1:4" x14ac:dyDescent="0.25">
      <c r="A322" s="511" t="s">
        <v>1843</v>
      </c>
      <c r="B322" s="387" t="s">
        <v>543</v>
      </c>
      <c r="C322" s="513" t="str">
        <f>CONCATENATE("chmod 750 ","./","tmp/",AES_LSU_PATCH_FILENAME)</f>
        <v>chmod 750 ./tmp/2014.06.18-LSU-Patch-RHEL5U10.bin</v>
      </c>
      <c r="D322" s="502"/>
    </row>
    <row r="323" spans="1:4" x14ac:dyDescent="0.25">
      <c r="A323" s="511" t="s">
        <v>1801</v>
      </c>
      <c r="B323" s="387" t="s">
        <v>543</v>
      </c>
      <c r="C323" s="513" t="str">
        <f>CONCATENATE("./","tmp/",AES_LSU_PATCH_FILENAME)</f>
        <v>./tmp/2014.06.18-LSU-Patch-RHEL5U10.bin</v>
      </c>
      <c r="D323" s="502"/>
    </row>
    <row r="324" spans="1:4" x14ac:dyDescent="0.25">
      <c r="A324" s="511"/>
      <c r="B324" s="387"/>
      <c r="C324" s="513"/>
      <c r="D324" s="504"/>
    </row>
    <row r="325" spans="1:4" ht="30" x14ac:dyDescent="0.25">
      <c r="A325" s="500" t="s">
        <v>1901</v>
      </c>
      <c r="B325" s="231"/>
      <c r="C325" s="501"/>
      <c r="D325" s="502"/>
    </row>
    <row r="326" spans="1:4" x14ac:dyDescent="0.25">
      <c r="A326" s="422" t="s">
        <v>1793</v>
      </c>
      <c r="B326" s="387" t="s">
        <v>533</v>
      </c>
      <c r="C326" s="503">
        <f>AESIP</f>
        <v>0</v>
      </c>
      <c r="D326" s="504"/>
    </row>
    <row r="327" spans="1:4" x14ac:dyDescent="0.25">
      <c r="A327" s="505" t="s">
        <v>1794</v>
      </c>
      <c r="B327" s="231" t="s">
        <v>215</v>
      </c>
      <c r="C327" s="506" t="str">
        <f>CONCATENATE("admin/",ADMINPASS)</f>
        <v>admin/</v>
      </c>
      <c r="D327" s="504"/>
    </row>
    <row r="328" spans="1:4" ht="30" x14ac:dyDescent="0.25">
      <c r="A328" s="505" t="s">
        <v>811</v>
      </c>
      <c r="B328" s="231" t="s">
        <v>812</v>
      </c>
      <c r="C328" s="506" t="s">
        <v>813</v>
      </c>
      <c r="D328" s="504"/>
    </row>
    <row r="329" spans="1:4" x14ac:dyDescent="0.25">
      <c r="A329" s="505" t="s">
        <v>1722</v>
      </c>
      <c r="B329" s="231" t="s">
        <v>809</v>
      </c>
      <c r="C329" s="507" t="s">
        <v>810</v>
      </c>
      <c r="D329" s="508"/>
    </row>
    <row r="330" spans="1:4" ht="30" x14ac:dyDescent="0.25">
      <c r="A330" s="505" t="s">
        <v>1902</v>
      </c>
      <c r="B330" s="231" t="s">
        <v>1903</v>
      </c>
      <c r="C330" s="509" t="str">
        <f>AES_LSU_PATCH3_FILENAME</f>
        <v>633_LSUPatch3.bin</v>
      </c>
      <c r="D330" s="510" t="s">
        <v>1250</v>
      </c>
    </row>
    <row r="331" spans="1:4" ht="30" x14ac:dyDescent="0.25">
      <c r="A331" s="505" t="s">
        <v>1721</v>
      </c>
      <c r="B331" s="231" t="s">
        <v>537</v>
      </c>
      <c r="C331" s="231" t="s">
        <v>538</v>
      </c>
      <c r="D331" s="504"/>
    </row>
    <row r="332" spans="1:4" ht="30" x14ac:dyDescent="0.25">
      <c r="A332" s="505" t="s">
        <v>1904</v>
      </c>
      <c r="B332" s="231" t="s">
        <v>1</v>
      </c>
      <c r="C332" s="231" t="s">
        <v>1</v>
      </c>
      <c r="D332" s="504"/>
    </row>
    <row r="333" spans="1:4" x14ac:dyDescent="0.25">
      <c r="A333" s="505" t="s">
        <v>539</v>
      </c>
      <c r="B333" s="231" t="s">
        <v>540</v>
      </c>
      <c r="C333" s="231" t="s">
        <v>541</v>
      </c>
      <c r="D333" s="504"/>
    </row>
    <row r="334" spans="1:4" x14ac:dyDescent="0.25">
      <c r="A334" s="505" t="s">
        <v>1647</v>
      </c>
      <c r="B334" s="231" t="s">
        <v>815</v>
      </c>
      <c r="C334" s="231" t="s">
        <v>818</v>
      </c>
      <c r="D334" s="504"/>
    </row>
    <row r="335" spans="1:4" x14ac:dyDescent="0.25">
      <c r="A335" s="505" t="s">
        <v>1648</v>
      </c>
      <c r="B335" s="231" t="s">
        <v>459</v>
      </c>
      <c r="C335" s="231" t="s">
        <v>819</v>
      </c>
      <c r="D335" s="502"/>
    </row>
    <row r="336" spans="1:4" x14ac:dyDescent="0.25">
      <c r="A336" s="422" t="s">
        <v>1797</v>
      </c>
      <c r="B336" s="387" t="s">
        <v>1798</v>
      </c>
      <c r="C336" s="503">
        <f>AESIP</f>
        <v>0</v>
      </c>
      <c r="D336" s="502"/>
    </row>
    <row r="337" spans="1:4" x14ac:dyDescent="0.25">
      <c r="A337" s="505" t="s">
        <v>1649</v>
      </c>
      <c r="B337" s="231" t="s">
        <v>820</v>
      </c>
      <c r="C337" s="506" t="s">
        <v>817</v>
      </c>
      <c r="D337" s="502"/>
    </row>
    <row r="338" spans="1:4" x14ac:dyDescent="0.25">
      <c r="A338" s="511" t="s">
        <v>1800</v>
      </c>
      <c r="B338" s="231" t="s">
        <v>215</v>
      </c>
      <c r="C338" s="506" t="str">
        <f>CONCATENATE("admin/",ADMINPASS)</f>
        <v>admin/</v>
      </c>
      <c r="D338" s="502"/>
    </row>
    <row r="339" spans="1:4" x14ac:dyDescent="0.25">
      <c r="A339" s="512" t="s">
        <v>1799</v>
      </c>
      <c r="B339" s="387" t="s">
        <v>543</v>
      </c>
      <c r="C339" s="513" t="s">
        <v>1802</v>
      </c>
      <c r="D339" s="502"/>
    </row>
    <row r="340" spans="1:4" x14ac:dyDescent="0.25">
      <c r="A340" s="511" t="s">
        <v>1843</v>
      </c>
      <c r="B340" s="387" t="s">
        <v>543</v>
      </c>
      <c r="C340" s="513" t="str">
        <f>CONCATENATE("chmod 750 ","./","tmp/",AES_LSU_PATCH3_FILENAME)</f>
        <v>chmod 750 ./tmp/633_LSUPatch3.bin</v>
      </c>
      <c r="D340" s="502"/>
    </row>
    <row r="341" spans="1:4" x14ac:dyDescent="0.25">
      <c r="A341" s="511" t="s">
        <v>1801</v>
      </c>
      <c r="B341" s="387" t="s">
        <v>543</v>
      </c>
      <c r="C341" s="513" t="str">
        <f>CONCATENATE("./","tmp/",AES_LSU_PATCH3_FILENAME)</f>
        <v>./tmp/633_LSUPatch3.bin</v>
      </c>
      <c r="D341" s="502"/>
    </row>
    <row r="342" spans="1:4" x14ac:dyDescent="0.25">
      <c r="A342" s="511"/>
      <c r="B342" s="387"/>
      <c r="C342" s="513"/>
      <c r="D342" s="502"/>
    </row>
    <row r="343" spans="1:4" ht="36" customHeight="1" x14ac:dyDescent="0.25">
      <c r="A343" s="500" t="s">
        <v>1791</v>
      </c>
      <c r="B343" s="231"/>
      <c r="C343" s="501"/>
      <c r="D343" s="504"/>
    </row>
    <row r="344" spans="1:4" x14ac:dyDescent="0.25">
      <c r="A344" s="505" t="s">
        <v>636</v>
      </c>
      <c r="B344" s="231" t="s">
        <v>278</v>
      </c>
      <c r="C344" s="509">
        <f>CDOMIP</f>
        <v>0</v>
      </c>
      <c r="D344" s="510" t="s">
        <v>807</v>
      </c>
    </row>
    <row r="345" spans="1:4" x14ac:dyDescent="0.25">
      <c r="A345" s="505" t="s">
        <v>291</v>
      </c>
      <c r="B345" s="231" t="s">
        <v>215</v>
      </c>
      <c r="C345" s="231" t="str">
        <f>CONCATENATE("admin/",ADMINPASS)</f>
        <v>admin/</v>
      </c>
      <c r="D345" s="510" t="s">
        <v>807</v>
      </c>
    </row>
    <row r="346" spans="1:4" ht="30" x14ac:dyDescent="0.25">
      <c r="A346" s="505" t="s">
        <v>461</v>
      </c>
      <c r="B346" s="231" t="s">
        <v>460</v>
      </c>
      <c r="C346" s="231" t="s">
        <v>462</v>
      </c>
      <c r="D346" s="504"/>
    </row>
    <row r="347" spans="1:4" x14ac:dyDescent="0.25">
      <c r="A347" s="505" t="s">
        <v>464</v>
      </c>
      <c r="B347" s="231" t="s">
        <v>463</v>
      </c>
      <c r="C347" s="231" t="s">
        <v>355</v>
      </c>
      <c r="D347" s="504"/>
    </row>
    <row r="348" spans="1:4" x14ac:dyDescent="0.25">
      <c r="A348" s="505" t="s">
        <v>465</v>
      </c>
      <c r="B348" s="231" t="s">
        <v>356</v>
      </c>
      <c r="C348" s="231" t="s">
        <v>309</v>
      </c>
      <c r="D348" s="504"/>
    </row>
    <row r="349" spans="1:4" ht="30" x14ac:dyDescent="0.25">
      <c r="A349" s="505" t="s">
        <v>466</v>
      </c>
      <c r="B349" s="231" t="s">
        <v>458</v>
      </c>
      <c r="C349" s="509" t="str">
        <f>AES_SUPER_PATCH_FILENAME</f>
        <v>633_SuperPatch_5.zip</v>
      </c>
      <c r="D349" s="510" t="s">
        <v>1250</v>
      </c>
    </row>
    <row r="350" spans="1:4" x14ac:dyDescent="0.25">
      <c r="A350" s="505" t="s">
        <v>357</v>
      </c>
      <c r="B350" s="231" t="s">
        <v>358</v>
      </c>
      <c r="C350" s="231" t="s">
        <v>309</v>
      </c>
      <c r="D350" s="504"/>
    </row>
    <row r="351" spans="1:4" x14ac:dyDescent="0.25">
      <c r="A351" s="505" t="s">
        <v>467</v>
      </c>
      <c r="B351" s="231" t="s">
        <v>97</v>
      </c>
      <c r="C351" s="231" t="s">
        <v>309</v>
      </c>
      <c r="D351" s="504"/>
    </row>
    <row r="352" spans="1:4" x14ac:dyDescent="0.25">
      <c r="A352" s="505" t="s">
        <v>468</v>
      </c>
      <c r="B352" s="231" t="s">
        <v>459</v>
      </c>
      <c r="C352" s="231" t="s">
        <v>309</v>
      </c>
      <c r="D352" s="504"/>
    </row>
    <row r="353" spans="1:4" x14ac:dyDescent="0.25">
      <c r="A353" s="505" t="s">
        <v>469</v>
      </c>
      <c r="B353" s="231" t="s">
        <v>470</v>
      </c>
      <c r="C353" s="501" t="s">
        <v>635</v>
      </c>
      <c r="D353" s="504"/>
    </row>
    <row r="354" spans="1:4" x14ac:dyDescent="0.25">
      <c r="A354" s="505"/>
      <c r="B354" s="231"/>
      <c r="C354" s="501"/>
      <c r="D354" s="504"/>
    </row>
    <row r="355" spans="1:4" ht="30" x14ac:dyDescent="0.25">
      <c r="A355" s="500" t="s">
        <v>1905</v>
      </c>
      <c r="B355" s="231"/>
      <c r="C355" s="501"/>
      <c r="D355" s="502"/>
    </row>
    <row r="356" spans="1:4" x14ac:dyDescent="0.25">
      <c r="A356" s="422" t="s">
        <v>1793</v>
      </c>
      <c r="B356" s="387" t="s">
        <v>533</v>
      </c>
      <c r="C356" s="503">
        <f>AESIP</f>
        <v>0</v>
      </c>
      <c r="D356" s="504"/>
    </row>
    <row r="357" spans="1:4" x14ac:dyDescent="0.25">
      <c r="A357" s="505" t="s">
        <v>1794</v>
      </c>
      <c r="B357" s="231" t="s">
        <v>215</v>
      </c>
      <c r="C357" s="506" t="str">
        <f>CONCATENATE("admin/",ADMINPASS)</f>
        <v>admin/</v>
      </c>
      <c r="D357" s="504"/>
    </row>
    <row r="358" spans="1:4" ht="30" x14ac:dyDescent="0.25">
      <c r="A358" s="505" t="s">
        <v>811</v>
      </c>
      <c r="B358" s="231" t="s">
        <v>812</v>
      </c>
      <c r="C358" s="506" t="s">
        <v>813</v>
      </c>
      <c r="D358" s="504"/>
    </row>
    <row r="359" spans="1:4" x14ac:dyDescent="0.25">
      <c r="A359" s="505" t="s">
        <v>1722</v>
      </c>
      <c r="B359" s="231" t="s">
        <v>809</v>
      </c>
      <c r="C359" s="507" t="s">
        <v>810</v>
      </c>
      <c r="D359" s="508"/>
    </row>
    <row r="360" spans="1:4" ht="30" x14ac:dyDescent="0.25">
      <c r="A360" s="505" t="s">
        <v>1906</v>
      </c>
      <c r="B360" s="231" t="s">
        <v>1907</v>
      </c>
      <c r="C360" s="509" t="str">
        <f>AES_BASH_PATCH_FILENAME</f>
        <v>aesvcs_bash_patch.bin</v>
      </c>
      <c r="D360" s="510" t="s">
        <v>1250</v>
      </c>
    </row>
    <row r="361" spans="1:4" ht="30" x14ac:dyDescent="0.25">
      <c r="A361" s="505" t="s">
        <v>1721</v>
      </c>
      <c r="B361" s="231" t="s">
        <v>537</v>
      </c>
      <c r="C361" s="231" t="s">
        <v>538</v>
      </c>
      <c r="D361" s="504"/>
    </row>
    <row r="362" spans="1:4" ht="30" x14ac:dyDescent="0.25">
      <c r="A362" s="505" t="s">
        <v>1908</v>
      </c>
      <c r="B362" s="231" t="s">
        <v>1</v>
      </c>
      <c r="C362" s="231" t="s">
        <v>1</v>
      </c>
      <c r="D362" s="504"/>
    </row>
    <row r="363" spans="1:4" x14ac:dyDescent="0.25">
      <c r="A363" s="505" t="s">
        <v>539</v>
      </c>
      <c r="B363" s="231" t="s">
        <v>540</v>
      </c>
      <c r="C363" s="231" t="s">
        <v>541</v>
      </c>
      <c r="D363" s="504"/>
    </row>
    <row r="364" spans="1:4" x14ac:dyDescent="0.25">
      <c r="A364" s="505" t="s">
        <v>1647</v>
      </c>
      <c r="B364" s="231" t="s">
        <v>815</v>
      </c>
      <c r="C364" s="231" t="s">
        <v>818</v>
      </c>
      <c r="D364" s="504"/>
    </row>
    <row r="365" spans="1:4" x14ac:dyDescent="0.25">
      <c r="A365" s="505" t="s">
        <v>1648</v>
      </c>
      <c r="B365" s="231" t="s">
        <v>459</v>
      </c>
      <c r="C365" s="231" t="s">
        <v>819</v>
      </c>
      <c r="D365" s="502"/>
    </row>
    <row r="366" spans="1:4" x14ac:dyDescent="0.25">
      <c r="A366" s="422" t="s">
        <v>1797</v>
      </c>
      <c r="B366" s="387" t="s">
        <v>1798</v>
      </c>
      <c r="C366" s="503">
        <f>AESIP</f>
        <v>0</v>
      </c>
      <c r="D366" s="502"/>
    </row>
    <row r="367" spans="1:4" x14ac:dyDescent="0.25">
      <c r="A367" s="505" t="s">
        <v>1649</v>
      </c>
      <c r="B367" s="231" t="s">
        <v>820</v>
      </c>
      <c r="C367" s="506" t="s">
        <v>817</v>
      </c>
      <c r="D367" s="502"/>
    </row>
    <row r="368" spans="1:4" x14ac:dyDescent="0.25">
      <c r="A368" s="511" t="s">
        <v>1800</v>
      </c>
      <c r="B368" s="231" t="s">
        <v>215</v>
      </c>
      <c r="C368" s="506" t="str">
        <f>CONCATENATE("admin/",ADMINPASS)</f>
        <v>admin/</v>
      </c>
      <c r="D368" s="502"/>
    </row>
    <row r="369" spans="1:4" x14ac:dyDescent="0.25">
      <c r="A369" s="512" t="s">
        <v>1799</v>
      </c>
      <c r="B369" s="387" t="s">
        <v>543</v>
      </c>
      <c r="C369" s="513" t="s">
        <v>1802</v>
      </c>
      <c r="D369" s="502"/>
    </row>
    <row r="370" spans="1:4" x14ac:dyDescent="0.25">
      <c r="A370" s="511" t="s">
        <v>1843</v>
      </c>
      <c r="B370" s="387" t="s">
        <v>543</v>
      </c>
      <c r="C370" s="513" t="str">
        <f>CONCATENATE("chmod 750 ","./","tmp/",AES_BASH_PATCH_FILENAME)</f>
        <v>chmod 750 ./tmp/aesvcs_bash_patch.bin</v>
      </c>
      <c r="D370" s="502"/>
    </row>
    <row r="371" spans="1:4" x14ac:dyDescent="0.25">
      <c r="A371" s="511" t="s">
        <v>1801</v>
      </c>
      <c r="B371" s="387" t="s">
        <v>543</v>
      </c>
      <c r="C371" s="513" t="str">
        <f>CONCATENATE("./","tmp/",AES_BASH_PATCH_FILENAME)</f>
        <v>./tmp/aesvcs_bash_patch.bin</v>
      </c>
      <c r="D371" s="502"/>
    </row>
    <row r="372" spans="1:4" ht="15.75" thickBot="1" x14ac:dyDescent="0.3">
      <c r="A372" s="558"/>
      <c r="B372" s="524"/>
      <c r="C372" s="541"/>
      <c r="D372" s="564"/>
    </row>
    <row r="373" spans="1:4" ht="36" customHeight="1" thickTop="1" x14ac:dyDescent="0.25">
      <c r="A373" s="600" t="s">
        <v>1846</v>
      </c>
      <c r="B373" s="601"/>
      <c r="C373" s="601"/>
      <c r="D373" s="602"/>
    </row>
    <row r="374" spans="1:4" x14ac:dyDescent="0.25">
      <c r="A374" s="609"/>
      <c r="B374" s="610"/>
      <c r="C374" s="610"/>
      <c r="D374" s="611"/>
    </row>
    <row r="375" spans="1:4" ht="30" x14ac:dyDescent="0.25">
      <c r="A375" s="500" t="s">
        <v>1708</v>
      </c>
      <c r="B375" s="231"/>
      <c r="C375" s="509"/>
      <c r="D375" s="508"/>
    </row>
    <row r="376" spans="1:4" x14ac:dyDescent="0.25">
      <c r="A376" s="505" t="s">
        <v>636</v>
      </c>
      <c r="B376" s="231" t="s">
        <v>278</v>
      </c>
      <c r="C376" s="509">
        <f>CDOMIP</f>
        <v>0</v>
      </c>
      <c r="D376" s="510" t="s">
        <v>807</v>
      </c>
    </row>
    <row r="377" spans="1:4" x14ac:dyDescent="0.25">
      <c r="A377" s="505" t="s">
        <v>291</v>
      </c>
      <c r="B377" s="231" t="s">
        <v>215</v>
      </c>
      <c r="C377" s="231" t="str">
        <f>CONCATENATE("admin/",ADMINPASS)</f>
        <v>admin/</v>
      </c>
      <c r="D377" s="510" t="s">
        <v>807</v>
      </c>
    </row>
    <row r="378" spans="1:4" ht="30" x14ac:dyDescent="0.25">
      <c r="A378" s="505" t="s">
        <v>461</v>
      </c>
      <c r="B378" s="231" t="s">
        <v>460</v>
      </c>
      <c r="C378" s="231" t="s">
        <v>462</v>
      </c>
      <c r="D378" s="504"/>
    </row>
    <row r="379" spans="1:4" x14ac:dyDescent="0.25">
      <c r="A379" s="505" t="s">
        <v>464</v>
      </c>
      <c r="B379" s="231" t="s">
        <v>463</v>
      </c>
      <c r="C379" s="231" t="s">
        <v>355</v>
      </c>
      <c r="D379" s="504"/>
    </row>
    <row r="380" spans="1:4" x14ac:dyDescent="0.25">
      <c r="A380" s="505" t="s">
        <v>465</v>
      </c>
      <c r="B380" s="231" t="s">
        <v>356</v>
      </c>
      <c r="C380" s="231" t="s">
        <v>309</v>
      </c>
      <c r="D380" s="508"/>
    </row>
    <row r="381" spans="1:4" ht="30" x14ac:dyDescent="0.25">
      <c r="A381" s="505" t="s">
        <v>466</v>
      </c>
      <c r="B381" s="231" t="s">
        <v>458</v>
      </c>
      <c r="C381" s="509" t="str">
        <f>US_SP_Filename</f>
        <v>util_patch_6.3.13.0.20.zip</v>
      </c>
      <c r="D381" s="510" t="s">
        <v>1250</v>
      </c>
    </row>
    <row r="382" spans="1:4" x14ac:dyDescent="0.25">
      <c r="A382" s="505" t="s">
        <v>357</v>
      </c>
      <c r="B382" s="231" t="s">
        <v>358</v>
      </c>
      <c r="C382" s="231" t="s">
        <v>309</v>
      </c>
      <c r="D382" s="504"/>
    </row>
    <row r="383" spans="1:4" x14ac:dyDescent="0.25">
      <c r="A383" s="505" t="s">
        <v>467</v>
      </c>
      <c r="B383" s="231" t="s">
        <v>97</v>
      </c>
      <c r="C383" s="231" t="s">
        <v>309</v>
      </c>
      <c r="D383" s="504"/>
    </row>
    <row r="384" spans="1:4" x14ac:dyDescent="0.25">
      <c r="A384" s="505" t="s">
        <v>468</v>
      </c>
      <c r="B384" s="231" t="s">
        <v>459</v>
      </c>
      <c r="C384" s="231" t="s">
        <v>309</v>
      </c>
      <c r="D384" s="504"/>
    </row>
    <row r="385" spans="1:4" x14ac:dyDescent="0.25">
      <c r="A385" s="505" t="s">
        <v>1612</v>
      </c>
      <c r="B385" s="231" t="s">
        <v>470</v>
      </c>
      <c r="C385" s="501" t="s">
        <v>1611</v>
      </c>
      <c r="D385" s="504"/>
    </row>
    <row r="386" spans="1:4" ht="75" x14ac:dyDescent="0.25">
      <c r="A386" s="505"/>
      <c r="B386" s="231"/>
      <c r="C386" s="501"/>
      <c r="D386" s="510" t="s">
        <v>1807</v>
      </c>
    </row>
    <row r="387" spans="1:4" ht="30" x14ac:dyDescent="0.25">
      <c r="A387" s="500" t="s">
        <v>1803</v>
      </c>
      <c r="B387" s="231"/>
      <c r="C387" s="501"/>
      <c r="D387" s="510"/>
    </row>
    <row r="388" spans="1:4" x14ac:dyDescent="0.25">
      <c r="A388" s="505" t="s">
        <v>636</v>
      </c>
      <c r="B388" s="231" t="s">
        <v>278</v>
      </c>
      <c r="C388" s="509">
        <f>CDOMIP</f>
        <v>0</v>
      </c>
      <c r="D388" s="510" t="s">
        <v>807</v>
      </c>
    </row>
    <row r="389" spans="1:4" x14ac:dyDescent="0.25">
      <c r="A389" s="505" t="s">
        <v>291</v>
      </c>
      <c r="B389" s="231" t="s">
        <v>215</v>
      </c>
      <c r="C389" s="231" t="str">
        <f>CONCATENATE("admin/",ADMINPASS)</f>
        <v>admin/</v>
      </c>
      <c r="D389" s="510" t="s">
        <v>807</v>
      </c>
    </row>
    <row r="390" spans="1:4" ht="30" x14ac:dyDescent="0.25">
      <c r="A390" s="505" t="s">
        <v>461</v>
      </c>
      <c r="B390" s="231" t="s">
        <v>460</v>
      </c>
      <c r="C390" s="231" t="s">
        <v>462</v>
      </c>
      <c r="D390" s="504"/>
    </row>
    <row r="391" spans="1:4" x14ac:dyDescent="0.25">
      <c r="A391" s="505" t="s">
        <v>464</v>
      </c>
      <c r="B391" s="231" t="s">
        <v>463</v>
      </c>
      <c r="C391" s="231" t="s">
        <v>355</v>
      </c>
      <c r="D391" s="504"/>
    </row>
    <row r="392" spans="1:4" x14ac:dyDescent="0.25">
      <c r="A392" s="505" t="s">
        <v>465</v>
      </c>
      <c r="B392" s="231" t="s">
        <v>356</v>
      </c>
      <c r="C392" s="231" t="s">
        <v>309</v>
      </c>
      <c r="D392" s="504"/>
    </row>
    <row r="393" spans="1:4" ht="30" x14ac:dyDescent="0.25">
      <c r="A393" s="505" t="s">
        <v>466</v>
      </c>
      <c r="B393" s="231" t="s">
        <v>458</v>
      </c>
      <c r="C393" s="509" t="str">
        <f>US_PATCH4_FILENAME</f>
        <v>util_patch_6.3.0.4.20.zip</v>
      </c>
      <c r="D393" s="510" t="s">
        <v>1250</v>
      </c>
    </row>
    <row r="394" spans="1:4" x14ac:dyDescent="0.25">
      <c r="A394" s="505" t="s">
        <v>357</v>
      </c>
      <c r="B394" s="231" t="s">
        <v>358</v>
      </c>
      <c r="C394" s="231" t="s">
        <v>309</v>
      </c>
      <c r="D394" s="504"/>
    </row>
    <row r="395" spans="1:4" x14ac:dyDescent="0.25">
      <c r="A395" s="505" t="s">
        <v>467</v>
      </c>
      <c r="B395" s="231" t="s">
        <v>97</v>
      </c>
      <c r="C395" s="231" t="s">
        <v>309</v>
      </c>
      <c r="D395" s="504"/>
    </row>
    <row r="396" spans="1:4" x14ac:dyDescent="0.25">
      <c r="A396" s="505" t="s">
        <v>468</v>
      </c>
      <c r="B396" s="231" t="s">
        <v>459</v>
      </c>
      <c r="C396" s="231" t="s">
        <v>309</v>
      </c>
      <c r="D396" s="504"/>
    </row>
    <row r="397" spans="1:4" x14ac:dyDescent="0.25">
      <c r="A397" s="505" t="s">
        <v>469</v>
      </c>
      <c r="B397" s="231" t="s">
        <v>470</v>
      </c>
      <c r="C397" s="501" t="s">
        <v>635</v>
      </c>
      <c r="D397" s="504"/>
    </row>
    <row r="398" spans="1:4" x14ac:dyDescent="0.25">
      <c r="A398" s="550"/>
      <c r="B398" s="386"/>
      <c r="C398" s="559"/>
      <c r="D398" s="517"/>
    </row>
    <row r="399" spans="1:4" ht="30" x14ac:dyDescent="0.25">
      <c r="A399" s="500" t="s">
        <v>1909</v>
      </c>
      <c r="B399" s="231"/>
      <c r="C399" s="501"/>
      <c r="D399" s="510"/>
    </row>
    <row r="400" spans="1:4" x14ac:dyDescent="0.25">
      <c r="A400" s="505" t="s">
        <v>636</v>
      </c>
      <c r="B400" s="231" t="s">
        <v>278</v>
      </c>
      <c r="C400" s="509">
        <f>CDOMIP</f>
        <v>0</v>
      </c>
      <c r="D400" s="510" t="s">
        <v>807</v>
      </c>
    </row>
    <row r="401" spans="1:4" x14ac:dyDescent="0.25">
      <c r="A401" s="505" t="s">
        <v>291</v>
      </c>
      <c r="B401" s="231" t="s">
        <v>215</v>
      </c>
      <c r="C401" s="231" t="str">
        <f>CONCATENATE("admin/",ADMINPASS)</f>
        <v>admin/</v>
      </c>
      <c r="D401" s="510" t="s">
        <v>807</v>
      </c>
    </row>
    <row r="402" spans="1:4" ht="30" x14ac:dyDescent="0.25">
      <c r="A402" s="505" t="s">
        <v>461</v>
      </c>
      <c r="B402" s="231" t="s">
        <v>460</v>
      </c>
      <c r="C402" s="231" t="s">
        <v>462</v>
      </c>
      <c r="D402" s="504"/>
    </row>
    <row r="403" spans="1:4" x14ac:dyDescent="0.25">
      <c r="A403" s="505" t="s">
        <v>464</v>
      </c>
      <c r="B403" s="231" t="s">
        <v>463</v>
      </c>
      <c r="C403" s="231" t="s">
        <v>355</v>
      </c>
      <c r="D403" s="504"/>
    </row>
    <row r="404" spans="1:4" x14ac:dyDescent="0.25">
      <c r="A404" s="505" t="s">
        <v>465</v>
      </c>
      <c r="B404" s="231" t="s">
        <v>356</v>
      </c>
      <c r="C404" s="231" t="s">
        <v>309</v>
      </c>
      <c r="D404" s="504"/>
    </row>
    <row r="405" spans="1:4" ht="30" x14ac:dyDescent="0.25">
      <c r="A405" s="505" t="s">
        <v>466</v>
      </c>
      <c r="B405" s="231" t="s">
        <v>458</v>
      </c>
      <c r="C405" s="509" t="str">
        <f>US_PATCH7_FILENAME</f>
        <v>util_patch_6.3.0.7.20.zip</v>
      </c>
      <c r="D405" s="510" t="s">
        <v>1250</v>
      </c>
    </row>
    <row r="406" spans="1:4" x14ac:dyDescent="0.25">
      <c r="A406" s="505" t="s">
        <v>357</v>
      </c>
      <c r="B406" s="231" t="s">
        <v>358</v>
      </c>
      <c r="C406" s="231" t="s">
        <v>309</v>
      </c>
      <c r="D406" s="504"/>
    </row>
    <row r="407" spans="1:4" x14ac:dyDescent="0.25">
      <c r="A407" s="505" t="s">
        <v>467</v>
      </c>
      <c r="B407" s="231" t="s">
        <v>97</v>
      </c>
      <c r="C407" s="231" t="s">
        <v>309</v>
      </c>
      <c r="D407" s="504"/>
    </row>
    <row r="408" spans="1:4" x14ac:dyDescent="0.25">
      <c r="A408" s="505" t="s">
        <v>468</v>
      </c>
      <c r="B408" s="231" t="s">
        <v>459</v>
      </c>
      <c r="C408" s="231" t="s">
        <v>309</v>
      </c>
      <c r="D408" s="504"/>
    </row>
    <row r="409" spans="1:4" x14ac:dyDescent="0.25">
      <c r="A409" s="505" t="s">
        <v>469</v>
      </c>
      <c r="B409" s="231" t="s">
        <v>470</v>
      </c>
      <c r="C409" s="501" t="s">
        <v>635</v>
      </c>
      <c r="D409" s="504"/>
    </row>
    <row r="410" spans="1:4" x14ac:dyDescent="0.25">
      <c r="A410" s="505"/>
      <c r="B410" s="231"/>
      <c r="C410" s="501"/>
      <c r="D410" s="504"/>
    </row>
    <row r="411" spans="1:4" ht="30" x14ac:dyDescent="0.25">
      <c r="A411" s="500" t="s">
        <v>2009</v>
      </c>
      <c r="B411" s="231"/>
      <c r="C411" s="501"/>
      <c r="D411" s="510"/>
    </row>
    <row r="412" spans="1:4" x14ac:dyDescent="0.25">
      <c r="A412" s="505" t="s">
        <v>636</v>
      </c>
      <c r="B412" s="231" t="s">
        <v>278</v>
      </c>
      <c r="C412" s="509">
        <f>CDOMIP</f>
        <v>0</v>
      </c>
      <c r="D412" s="510" t="s">
        <v>807</v>
      </c>
    </row>
    <row r="413" spans="1:4" x14ac:dyDescent="0.25">
      <c r="A413" s="505" t="s">
        <v>291</v>
      </c>
      <c r="B413" s="231" t="s">
        <v>215</v>
      </c>
      <c r="C413" s="231" t="str">
        <f>CONCATENATE("admin/",ADMINPASS)</f>
        <v>admin/</v>
      </c>
      <c r="D413" s="510" t="s">
        <v>807</v>
      </c>
    </row>
    <row r="414" spans="1:4" ht="30" x14ac:dyDescent="0.25">
      <c r="A414" s="505" t="s">
        <v>461</v>
      </c>
      <c r="B414" s="231" t="s">
        <v>460</v>
      </c>
      <c r="C414" s="231" t="s">
        <v>462</v>
      </c>
      <c r="D414" s="504"/>
    </row>
    <row r="415" spans="1:4" x14ac:dyDescent="0.25">
      <c r="A415" s="505" t="s">
        <v>464</v>
      </c>
      <c r="B415" s="231" t="s">
        <v>463</v>
      </c>
      <c r="C415" s="231" t="s">
        <v>355</v>
      </c>
      <c r="D415" s="504"/>
    </row>
    <row r="416" spans="1:4" x14ac:dyDescent="0.25">
      <c r="A416" s="505" t="s">
        <v>465</v>
      </c>
      <c r="B416" s="231" t="s">
        <v>356</v>
      </c>
      <c r="C416" s="231" t="s">
        <v>309</v>
      </c>
      <c r="D416" s="504"/>
    </row>
    <row r="417" spans="1:4" ht="30" x14ac:dyDescent="0.25">
      <c r="A417" s="505" t="s">
        <v>466</v>
      </c>
      <c r="B417" s="231" t="s">
        <v>458</v>
      </c>
      <c r="C417" s="509" t="str">
        <f>US_PATCH9_FILENAME</f>
        <v>util_patch_6.3.0.9.20.zip</v>
      </c>
      <c r="D417" s="510" t="s">
        <v>1250</v>
      </c>
    </row>
    <row r="418" spans="1:4" x14ac:dyDescent="0.25">
      <c r="A418" s="505" t="s">
        <v>357</v>
      </c>
      <c r="B418" s="231" t="s">
        <v>358</v>
      </c>
      <c r="C418" s="231" t="s">
        <v>309</v>
      </c>
      <c r="D418" s="504"/>
    </row>
    <row r="419" spans="1:4" x14ac:dyDescent="0.25">
      <c r="A419" s="505" t="s">
        <v>467</v>
      </c>
      <c r="B419" s="231" t="s">
        <v>97</v>
      </c>
      <c r="C419" s="231" t="s">
        <v>309</v>
      </c>
      <c r="D419" s="504"/>
    </row>
    <row r="420" spans="1:4" x14ac:dyDescent="0.25">
      <c r="A420" s="505" t="s">
        <v>468</v>
      </c>
      <c r="B420" s="231" t="s">
        <v>459</v>
      </c>
      <c r="C420" s="231" t="s">
        <v>309</v>
      </c>
      <c r="D420" s="504"/>
    </row>
    <row r="421" spans="1:4" x14ac:dyDescent="0.25">
      <c r="A421" s="505" t="s">
        <v>469</v>
      </c>
      <c r="B421" s="231" t="s">
        <v>470</v>
      </c>
      <c r="C421" s="501" t="s">
        <v>635</v>
      </c>
      <c r="D421" s="504"/>
    </row>
    <row r="422" spans="1:4" ht="15.75" thickBot="1" x14ac:dyDescent="0.3">
      <c r="A422" s="420"/>
      <c r="B422" s="524"/>
      <c r="C422" s="542"/>
      <c r="D422" s="584"/>
    </row>
    <row r="423" spans="1:4" ht="15.75" thickTop="1" x14ac:dyDescent="0.25"/>
  </sheetData>
  <sheetProtection sheet="1" objects="1" scenarios="1"/>
  <mergeCells count="31">
    <mergeCell ref="A27:D27"/>
    <mergeCell ref="A26:D26"/>
    <mergeCell ref="A42:D42"/>
    <mergeCell ref="A139:D139"/>
    <mergeCell ref="A2:D2"/>
    <mergeCell ref="A143:D143"/>
    <mergeCell ref="A156:D156"/>
    <mergeCell ref="A142:D142"/>
    <mergeCell ref="A75:D75"/>
    <mergeCell ref="A76:D76"/>
    <mergeCell ref="A9:D9"/>
    <mergeCell ref="A8:D8"/>
    <mergeCell ref="A117:D117"/>
    <mergeCell ref="A118:D118"/>
    <mergeCell ref="A41:D41"/>
    <mergeCell ref="A25:D25"/>
    <mergeCell ref="A283:D283"/>
    <mergeCell ref="A374:D374"/>
    <mergeCell ref="A231:D231"/>
    <mergeCell ref="A268:D268"/>
    <mergeCell ref="A269:D269"/>
    <mergeCell ref="A296:D296"/>
    <mergeCell ref="A297:D297"/>
    <mergeCell ref="A373:D373"/>
    <mergeCell ref="A230:D230"/>
    <mergeCell ref="A282:D282"/>
    <mergeCell ref="A228:D228"/>
    <mergeCell ref="A208:D208"/>
    <mergeCell ref="A140:D140"/>
    <mergeCell ref="A194:D194"/>
    <mergeCell ref="A190:D190"/>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90"/>
  <sheetViews>
    <sheetView zoomScaleNormal="100" workbookViewId="0">
      <pane ySplit="1" topLeftCell="A2" activePane="bottomLeft" state="frozen"/>
      <selection activeCell="C89" sqref="C89"/>
      <selection pane="bottomLeft" activeCell="B10" sqref="B10"/>
    </sheetView>
  </sheetViews>
  <sheetFormatPr defaultRowHeight="15" x14ac:dyDescent="0.25"/>
  <cols>
    <col min="1" max="1" width="67.5703125" customWidth="1"/>
    <col min="2" max="2" width="37" style="1" customWidth="1"/>
    <col min="3" max="3" width="36.7109375" style="1" customWidth="1"/>
    <col min="4" max="4" width="33" customWidth="1"/>
  </cols>
  <sheetData>
    <row r="1" spans="1:4" ht="15.75" thickBot="1" x14ac:dyDescent="0.3">
      <c r="A1" s="42" t="s">
        <v>11</v>
      </c>
      <c r="B1" s="43" t="s">
        <v>3</v>
      </c>
      <c r="C1" s="44" t="s">
        <v>193</v>
      </c>
      <c r="D1" s="45" t="s">
        <v>122</v>
      </c>
    </row>
    <row r="2" spans="1:4" ht="15.75" thickTop="1" x14ac:dyDescent="0.25">
      <c r="A2" s="7" t="s">
        <v>595</v>
      </c>
      <c r="B2" s="4"/>
      <c r="C2" s="18"/>
      <c r="D2" s="22"/>
    </row>
    <row r="3" spans="1:4" ht="45" x14ac:dyDescent="0.25">
      <c r="A3" s="17" t="s">
        <v>596</v>
      </c>
      <c r="B3" s="12" t="s">
        <v>219</v>
      </c>
      <c r="C3" s="68" t="str">
        <f>CONCATENATE("http://",SMGRIP,"/SMGR")</f>
        <v>http:///SMGR</v>
      </c>
      <c r="D3" s="32" t="s">
        <v>123</v>
      </c>
    </row>
    <row r="4" spans="1:4" ht="105" x14ac:dyDescent="0.25">
      <c r="A4" s="152" t="s">
        <v>1143</v>
      </c>
      <c r="B4" s="37" t="s">
        <v>389</v>
      </c>
      <c r="C4" s="232" t="s">
        <v>1508</v>
      </c>
      <c r="D4" s="240" t="s">
        <v>1251</v>
      </c>
    </row>
    <row r="5" spans="1:4" x14ac:dyDescent="0.25">
      <c r="A5" s="8"/>
      <c r="B5" s="37"/>
      <c r="C5" s="232"/>
      <c r="D5" s="240"/>
    </row>
    <row r="6" spans="1:4" x14ac:dyDescent="0.25">
      <c r="A6" s="9" t="s">
        <v>1120</v>
      </c>
      <c r="B6" s="6"/>
      <c r="C6" s="19"/>
      <c r="D6" s="12"/>
    </row>
    <row r="7" spans="1:4" ht="75" x14ac:dyDescent="0.25">
      <c r="A7" s="160" t="s">
        <v>1121</v>
      </c>
      <c r="B7" s="12" t="s">
        <v>1465</v>
      </c>
      <c r="C7" s="76" t="str">
        <f>CONCATENATE(SMGRHOSTNAME,".zip")</f>
        <v>.zip</v>
      </c>
      <c r="D7" s="12" t="s">
        <v>1228</v>
      </c>
    </row>
    <row r="8" spans="1:4" ht="45" x14ac:dyDescent="0.25">
      <c r="A8" s="160" t="s">
        <v>1122</v>
      </c>
      <c r="B8" s="12" t="s">
        <v>1</v>
      </c>
      <c r="C8" s="74" t="s">
        <v>1144</v>
      </c>
      <c r="D8" s="12" t="s">
        <v>1229</v>
      </c>
    </row>
    <row r="9" spans="1:4" x14ac:dyDescent="0.25">
      <c r="A9" s="13" t="s">
        <v>1464</v>
      </c>
      <c r="B9" s="6" t="s">
        <v>395</v>
      </c>
      <c r="C9" s="19" t="s">
        <v>396</v>
      </c>
      <c r="D9" s="6"/>
    </row>
    <row r="10" spans="1:4" ht="30" x14ac:dyDescent="0.25">
      <c r="A10" s="13" t="s">
        <v>1505</v>
      </c>
      <c r="B10" s="6" t="s">
        <v>1123</v>
      </c>
      <c r="C10" s="19" t="s">
        <v>1124</v>
      </c>
      <c r="D10" s="12"/>
    </row>
    <row r="11" spans="1:4" ht="30" x14ac:dyDescent="0.25">
      <c r="A11" s="13" t="s">
        <v>1504</v>
      </c>
      <c r="B11" s="12" t="s">
        <v>1125</v>
      </c>
      <c r="C11" s="74" t="s">
        <v>1126</v>
      </c>
      <c r="D11" s="13"/>
    </row>
    <row r="12" spans="1:4" x14ac:dyDescent="0.25">
      <c r="A12" s="13" t="s">
        <v>1506</v>
      </c>
      <c r="B12" s="12" t="s">
        <v>1127</v>
      </c>
      <c r="C12" s="27" t="s">
        <v>346</v>
      </c>
      <c r="D12" s="12"/>
    </row>
    <row r="13" spans="1:4" x14ac:dyDescent="0.25">
      <c r="A13" s="13" t="s">
        <v>1507</v>
      </c>
      <c r="B13" s="12" t="s">
        <v>471</v>
      </c>
      <c r="C13" s="27" t="s">
        <v>309</v>
      </c>
      <c r="D13" s="12"/>
    </row>
    <row r="14" spans="1:4" ht="45" x14ac:dyDescent="0.25">
      <c r="A14" s="13" t="s">
        <v>1419</v>
      </c>
      <c r="B14" s="12" t="s">
        <v>1128</v>
      </c>
      <c r="C14" s="161">
        <v>1</v>
      </c>
      <c r="D14" s="12"/>
    </row>
    <row r="15" spans="1:4" x14ac:dyDescent="0.25">
      <c r="A15" s="13"/>
      <c r="B15" s="12"/>
      <c r="C15" s="161"/>
      <c r="D15" s="12"/>
    </row>
    <row r="16" spans="1:4" x14ac:dyDescent="0.25">
      <c r="A16" s="194" t="s">
        <v>1469</v>
      </c>
      <c r="B16" s="12"/>
      <c r="C16" s="161"/>
      <c r="D16" s="12"/>
    </row>
    <row r="17" spans="1:4" ht="30" x14ac:dyDescent="0.25">
      <c r="A17" s="13" t="s">
        <v>1420</v>
      </c>
      <c r="B17" s="12" t="s">
        <v>1424</v>
      </c>
      <c r="C17" s="161" t="s">
        <v>1299</v>
      </c>
      <c r="D17" s="12"/>
    </row>
    <row r="18" spans="1:4" x14ac:dyDescent="0.25">
      <c r="A18" s="13" t="s">
        <v>1421</v>
      </c>
      <c r="B18" s="12" t="s">
        <v>1425</v>
      </c>
      <c r="C18" s="161" t="s">
        <v>1426</v>
      </c>
      <c r="D18" s="12"/>
    </row>
    <row r="19" spans="1:4" x14ac:dyDescent="0.25">
      <c r="A19" s="13" t="s">
        <v>1422</v>
      </c>
      <c r="B19" s="12" t="s">
        <v>1427</v>
      </c>
      <c r="C19" s="283">
        <v>6.3</v>
      </c>
      <c r="D19" s="12"/>
    </row>
    <row r="20" spans="1:4" x14ac:dyDescent="0.25">
      <c r="A20" s="13" t="s">
        <v>1423</v>
      </c>
      <c r="B20" s="231" t="s">
        <v>1146</v>
      </c>
      <c r="C20" s="231" t="s">
        <v>1147</v>
      </c>
      <c r="D20" s="12"/>
    </row>
    <row r="21" spans="1:4" x14ac:dyDescent="0.25">
      <c r="A21" s="13"/>
      <c r="B21" s="12"/>
      <c r="C21" s="161"/>
      <c r="D21" s="12"/>
    </row>
    <row r="22" spans="1:4" x14ac:dyDescent="0.25">
      <c r="A22" s="193" t="s">
        <v>1474</v>
      </c>
      <c r="B22" s="6"/>
      <c r="C22" s="19"/>
      <c r="D22" s="179"/>
    </row>
    <row r="23" spans="1:4" x14ac:dyDescent="0.25">
      <c r="A23" s="13" t="s">
        <v>363</v>
      </c>
      <c r="B23" s="6" t="s">
        <v>364</v>
      </c>
      <c r="C23" s="19" t="s">
        <v>365</v>
      </c>
      <c r="D23" s="12"/>
    </row>
    <row r="24" spans="1:4" x14ac:dyDescent="0.25">
      <c r="A24" s="5" t="s">
        <v>1129</v>
      </c>
      <c r="B24" s="6" t="s">
        <v>1130</v>
      </c>
      <c r="C24" s="20" t="s">
        <v>1131</v>
      </c>
      <c r="D24" s="228"/>
    </row>
    <row r="25" spans="1:4" x14ac:dyDescent="0.25">
      <c r="A25" s="5" t="s">
        <v>1471</v>
      </c>
      <c r="B25" s="6" t="s">
        <v>115</v>
      </c>
      <c r="C25" s="75">
        <f>SIPDOMAIN</f>
        <v>0</v>
      </c>
      <c r="D25" s="12"/>
    </row>
    <row r="26" spans="1:4" x14ac:dyDescent="0.25">
      <c r="A26" s="5"/>
      <c r="B26" s="6"/>
      <c r="C26" s="75"/>
      <c r="D26" s="12"/>
    </row>
    <row r="27" spans="1:4" x14ac:dyDescent="0.25">
      <c r="A27" s="9" t="s">
        <v>1470</v>
      </c>
      <c r="B27" s="6"/>
      <c r="C27" s="75"/>
      <c r="D27" s="12"/>
    </row>
    <row r="28" spans="1:4" x14ac:dyDescent="0.25">
      <c r="A28" s="5" t="s">
        <v>1477</v>
      </c>
      <c r="B28" s="6"/>
      <c r="C28" s="75"/>
      <c r="D28" s="12"/>
    </row>
    <row r="29" spans="1:4" ht="30" x14ac:dyDescent="0.25">
      <c r="A29" s="169" t="s">
        <v>1482</v>
      </c>
      <c r="B29" s="6" t="s">
        <v>940</v>
      </c>
      <c r="C29" s="307" t="str">
        <f>CONCATENATE("messaging@",SIPDOMAIN)</f>
        <v>messaging@</v>
      </c>
      <c r="D29" s="12"/>
    </row>
    <row r="30" spans="1:4" x14ac:dyDescent="0.25">
      <c r="A30" s="169" t="s">
        <v>1484</v>
      </c>
      <c r="B30" s="6" t="s">
        <v>1485</v>
      </c>
      <c r="C30" s="20" t="s">
        <v>1472</v>
      </c>
      <c r="D30" s="12"/>
    </row>
    <row r="31" spans="1:4" x14ac:dyDescent="0.25">
      <c r="A31" s="169" t="s">
        <v>1473</v>
      </c>
      <c r="B31" s="6" t="s">
        <v>940</v>
      </c>
      <c r="C31" s="307" t="str">
        <f>CONCATENATE("messaging@",SIPDOMAIN)</f>
        <v>messaging@</v>
      </c>
      <c r="D31" s="12"/>
    </row>
    <row r="32" spans="1:4" x14ac:dyDescent="0.25">
      <c r="A32" s="13" t="s">
        <v>1423</v>
      </c>
      <c r="B32" s="231" t="s">
        <v>1146</v>
      </c>
      <c r="C32" s="231" t="s">
        <v>1147</v>
      </c>
      <c r="D32" s="12"/>
    </row>
    <row r="33" spans="1:4" x14ac:dyDescent="0.25">
      <c r="A33" s="5"/>
      <c r="B33" s="6"/>
      <c r="C33" s="75"/>
      <c r="D33" s="12"/>
    </row>
    <row r="34" spans="1:4" x14ac:dyDescent="0.25">
      <c r="A34" s="9" t="s">
        <v>1479</v>
      </c>
      <c r="B34" s="6"/>
      <c r="C34" s="75"/>
      <c r="D34" s="12"/>
    </row>
    <row r="35" spans="1:4" x14ac:dyDescent="0.25">
      <c r="A35" s="13" t="s">
        <v>1478</v>
      </c>
      <c r="B35" s="12" t="s">
        <v>1132</v>
      </c>
      <c r="C35" s="229" t="s">
        <v>1133</v>
      </c>
      <c r="D35" s="228"/>
    </row>
    <row r="36" spans="1:4" x14ac:dyDescent="0.25">
      <c r="A36" s="13" t="s">
        <v>1476</v>
      </c>
      <c r="B36" s="12" t="s">
        <v>1134</v>
      </c>
      <c r="C36" s="76">
        <f>LOCATIONNAME</f>
        <v>0</v>
      </c>
      <c r="D36" s="12"/>
    </row>
    <row r="37" spans="1:4" x14ac:dyDescent="0.25">
      <c r="A37" s="13"/>
      <c r="B37" s="11"/>
      <c r="C37" s="21"/>
      <c r="D37" s="12"/>
    </row>
    <row r="38" spans="1:4" x14ac:dyDescent="0.25">
      <c r="A38" s="194" t="s">
        <v>1475</v>
      </c>
      <c r="B38" s="11"/>
      <c r="C38" s="21"/>
      <c r="D38" s="12"/>
    </row>
    <row r="39" spans="1:4" ht="30" x14ac:dyDescent="0.25">
      <c r="A39" s="13" t="s">
        <v>1480</v>
      </c>
      <c r="B39" s="11" t="s">
        <v>115</v>
      </c>
      <c r="C39" s="21" t="s">
        <v>1106</v>
      </c>
      <c r="D39" s="12" t="s">
        <v>1481</v>
      </c>
    </row>
    <row r="40" spans="1:4" x14ac:dyDescent="0.25">
      <c r="A40" s="106" t="s">
        <v>1493</v>
      </c>
      <c r="B40" s="85" t="s">
        <v>115</v>
      </c>
      <c r="C40" s="309" t="s">
        <v>1494</v>
      </c>
      <c r="D40" s="12"/>
    </row>
    <row r="41" spans="1:4" x14ac:dyDescent="0.25">
      <c r="A41" s="311" t="s">
        <v>1495</v>
      </c>
      <c r="B41" s="11" t="s">
        <v>1496</v>
      </c>
      <c r="C41" s="21" t="s">
        <v>309</v>
      </c>
      <c r="D41" s="12"/>
    </row>
    <row r="42" spans="1:4" ht="30" x14ac:dyDescent="0.25">
      <c r="A42" s="169" t="s">
        <v>1483</v>
      </c>
      <c r="B42" s="11" t="s">
        <v>115</v>
      </c>
      <c r="C42" s="226">
        <f>SMHOSTNAME</f>
        <v>0</v>
      </c>
      <c r="D42" s="12"/>
    </row>
    <row r="43" spans="1:4" x14ac:dyDescent="0.25">
      <c r="A43" s="13" t="s">
        <v>1423</v>
      </c>
      <c r="B43" s="231" t="s">
        <v>1146</v>
      </c>
      <c r="C43" s="231" t="s">
        <v>1147</v>
      </c>
      <c r="D43" s="12"/>
    </row>
    <row r="44" spans="1:4" x14ac:dyDescent="0.25">
      <c r="A44" s="13"/>
      <c r="B44" s="231"/>
      <c r="C44" s="308"/>
      <c r="D44" s="12"/>
    </row>
    <row r="45" spans="1:4" x14ac:dyDescent="0.25">
      <c r="A45" s="9" t="s">
        <v>1671</v>
      </c>
      <c r="B45" s="6"/>
      <c r="C45" s="19"/>
      <c r="D45" s="12"/>
    </row>
    <row r="46" spans="1:4" ht="60" x14ac:dyDescent="0.25">
      <c r="A46" s="182" t="s">
        <v>362</v>
      </c>
      <c r="B46" s="11" t="s">
        <v>360</v>
      </c>
      <c r="C46" s="21" t="s">
        <v>361</v>
      </c>
      <c r="D46" s="17" t="s">
        <v>529</v>
      </c>
    </row>
    <row r="47" spans="1:4" x14ac:dyDescent="0.25">
      <c r="A47" s="65" t="s">
        <v>1135</v>
      </c>
      <c r="B47" s="11" t="s">
        <v>257</v>
      </c>
      <c r="C47" s="21" t="s">
        <v>258</v>
      </c>
      <c r="D47" s="17"/>
    </row>
    <row r="48" spans="1:4" x14ac:dyDescent="0.25">
      <c r="A48" s="65" t="s">
        <v>1097</v>
      </c>
      <c r="B48" s="11" t="s">
        <v>1098</v>
      </c>
      <c r="C48" s="226">
        <f>SMHOSTNAME</f>
        <v>0</v>
      </c>
      <c r="D48" s="12"/>
    </row>
    <row r="49" spans="1:4" ht="45" x14ac:dyDescent="0.25">
      <c r="A49" s="32" t="s">
        <v>530</v>
      </c>
      <c r="B49" s="29" t="s">
        <v>50</v>
      </c>
      <c r="C49" s="39" t="s">
        <v>51</v>
      </c>
      <c r="D49" s="12"/>
    </row>
    <row r="50" spans="1:4" ht="135" x14ac:dyDescent="0.25">
      <c r="A50" s="17" t="s">
        <v>1099</v>
      </c>
      <c r="B50" s="12" t="s">
        <v>391</v>
      </c>
      <c r="C50" s="74" t="str">
        <f>CONCATENATE(SMHOSTNAME, " (menu selection)
(click the button)")</f>
        <v xml:space="preserve"> (menu selection)
(click the button)</v>
      </c>
      <c r="D50" s="12"/>
    </row>
    <row r="51" spans="1:4" x14ac:dyDescent="0.25">
      <c r="A51" s="5" t="s">
        <v>222</v>
      </c>
      <c r="B51" s="6" t="s">
        <v>52</v>
      </c>
      <c r="C51" s="19" t="s">
        <v>53</v>
      </c>
      <c r="D51" s="23"/>
    </row>
    <row r="52" spans="1:4" x14ac:dyDescent="0.25">
      <c r="A52" s="5"/>
      <c r="B52" s="6"/>
      <c r="C52" s="19"/>
      <c r="D52" s="23"/>
    </row>
    <row r="53" spans="1:4" x14ac:dyDescent="0.25">
      <c r="A53" s="9" t="s">
        <v>220</v>
      </c>
      <c r="B53" s="6"/>
      <c r="C53" s="19"/>
      <c r="D53" s="23"/>
    </row>
    <row r="54" spans="1:4" x14ac:dyDescent="0.25">
      <c r="A54" s="8" t="s">
        <v>1100</v>
      </c>
      <c r="B54" s="30" t="s">
        <v>54</v>
      </c>
      <c r="C54" s="38" t="s">
        <v>307</v>
      </c>
      <c r="D54" s="23"/>
    </row>
    <row r="55" spans="1:4" s="77" customFormat="1" ht="60" x14ac:dyDescent="0.25">
      <c r="A55" s="8" t="s">
        <v>223</v>
      </c>
      <c r="B55" s="30" t="s">
        <v>55</v>
      </c>
      <c r="C55" s="38" t="s">
        <v>56</v>
      </c>
      <c r="D55" s="46" t="s">
        <v>531</v>
      </c>
    </row>
    <row r="56" spans="1:4" x14ac:dyDescent="0.25">
      <c r="A56" s="152" t="s">
        <v>366</v>
      </c>
      <c r="B56" s="37" t="s">
        <v>367</v>
      </c>
      <c r="C56" s="153" t="s">
        <v>368</v>
      </c>
      <c r="D56" s="36"/>
    </row>
    <row r="57" spans="1:4" x14ac:dyDescent="0.25">
      <c r="A57" s="46" t="s">
        <v>224</v>
      </c>
      <c r="B57" s="23" t="s">
        <v>98</v>
      </c>
      <c r="C57" s="78" t="s">
        <v>56</v>
      </c>
      <c r="D57" s="36"/>
    </row>
    <row r="58" spans="1:4" x14ac:dyDescent="0.25">
      <c r="A58" s="8"/>
      <c r="B58" s="30"/>
      <c r="C58" s="38"/>
      <c r="D58" s="36"/>
    </row>
    <row r="59" spans="1:4" x14ac:dyDescent="0.25">
      <c r="A59" s="9" t="s">
        <v>225</v>
      </c>
      <c r="B59" s="6"/>
      <c r="C59" s="19"/>
      <c r="D59" s="36"/>
    </row>
    <row r="60" spans="1:4" ht="105" x14ac:dyDescent="0.25">
      <c r="A60" s="160" t="s">
        <v>472</v>
      </c>
      <c r="B60" s="12" t="s">
        <v>360</v>
      </c>
      <c r="C60" s="74" t="s">
        <v>361</v>
      </c>
      <c r="D60" s="10" t="s">
        <v>306</v>
      </c>
    </row>
    <row r="61" spans="1:4" x14ac:dyDescent="0.25">
      <c r="A61" s="13" t="s">
        <v>369</v>
      </c>
      <c r="B61" s="11" t="s">
        <v>370</v>
      </c>
      <c r="C61" s="21" t="s">
        <v>371</v>
      </c>
      <c r="D61" s="5"/>
    </row>
    <row r="62" spans="1:4" ht="90" x14ac:dyDescent="0.25">
      <c r="A62" s="10" t="s">
        <v>1500</v>
      </c>
      <c r="B62" s="11" t="s">
        <v>130</v>
      </c>
      <c r="C62" s="11" t="s">
        <v>131</v>
      </c>
      <c r="D62" s="32" t="s">
        <v>372</v>
      </c>
    </row>
    <row r="63" spans="1:4" ht="45" x14ac:dyDescent="0.25">
      <c r="A63" s="46" t="s">
        <v>1503</v>
      </c>
      <c r="B63" s="12" t="s">
        <v>130</v>
      </c>
      <c r="C63" s="12" t="s">
        <v>392</v>
      </c>
      <c r="D63" s="5"/>
    </row>
    <row r="64" spans="1:4" ht="45" x14ac:dyDescent="0.25">
      <c r="A64" s="32" t="s">
        <v>393</v>
      </c>
      <c r="B64" s="12"/>
      <c r="C64" s="12"/>
      <c r="D64" s="5"/>
    </row>
    <row r="65" spans="1:4" ht="30" x14ac:dyDescent="0.25">
      <c r="A65" s="32" t="s">
        <v>1486</v>
      </c>
      <c r="B65" s="29" t="s">
        <v>1101</v>
      </c>
      <c r="C65" s="29" t="s">
        <v>307</v>
      </c>
      <c r="D65" s="5"/>
    </row>
    <row r="66" spans="1:4" x14ac:dyDescent="0.25">
      <c r="A66" s="32" t="s">
        <v>314</v>
      </c>
      <c r="B66" s="29" t="s">
        <v>308</v>
      </c>
      <c r="C66" s="29" t="s">
        <v>309</v>
      </c>
      <c r="D66" s="17"/>
    </row>
    <row r="67" spans="1:4" x14ac:dyDescent="0.25">
      <c r="A67" s="10" t="s">
        <v>310</v>
      </c>
      <c r="B67" s="6" t="s">
        <v>311</v>
      </c>
      <c r="C67" s="6" t="s">
        <v>307</v>
      </c>
      <c r="D67" s="17"/>
    </row>
    <row r="68" spans="1:4" x14ac:dyDescent="0.25">
      <c r="A68" s="10" t="s">
        <v>315</v>
      </c>
      <c r="B68" s="11" t="s">
        <v>312</v>
      </c>
      <c r="C68" s="11" t="s">
        <v>309</v>
      </c>
      <c r="D68" s="5"/>
    </row>
    <row r="69" spans="1:4" ht="135" x14ac:dyDescent="0.25">
      <c r="A69" s="10" t="s">
        <v>316</v>
      </c>
      <c r="B69" s="6" t="s">
        <v>313</v>
      </c>
      <c r="C69" s="6" t="s">
        <v>309</v>
      </c>
      <c r="D69" s="85" t="s">
        <v>1487</v>
      </c>
    </row>
    <row r="70" spans="1:4" ht="30" x14ac:dyDescent="0.25">
      <c r="A70" s="106" t="s">
        <v>394</v>
      </c>
      <c r="B70" s="85" t="s">
        <v>317</v>
      </c>
      <c r="C70" s="154" t="s">
        <v>318</v>
      </c>
      <c r="D70" s="85"/>
    </row>
    <row r="71" spans="1:4" x14ac:dyDescent="0.25">
      <c r="A71" s="106"/>
      <c r="B71" s="85"/>
      <c r="C71" s="309"/>
      <c r="D71" s="85"/>
    </row>
    <row r="72" spans="1:4" x14ac:dyDescent="0.25">
      <c r="A72" s="9" t="s">
        <v>1501</v>
      </c>
      <c r="B72" s="6"/>
      <c r="C72" s="6"/>
      <c r="D72" s="85"/>
    </row>
    <row r="73" spans="1:4" x14ac:dyDescent="0.25">
      <c r="A73" s="24" t="s">
        <v>362</v>
      </c>
      <c r="B73" s="6" t="s">
        <v>360</v>
      </c>
      <c r="C73" s="19" t="s">
        <v>361</v>
      </c>
      <c r="D73" s="85"/>
    </row>
    <row r="74" spans="1:4" x14ac:dyDescent="0.25">
      <c r="A74" s="24" t="s">
        <v>398</v>
      </c>
      <c r="B74" s="6" t="s">
        <v>399</v>
      </c>
      <c r="C74" s="28" t="s">
        <v>46</v>
      </c>
      <c r="D74" s="85"/>
    </row>
    <row r="75" spans="1:4" ht="19.5" customHeight="1" x14ac:dyDescent="0.25">
      <c r="A75" s="32" t="s">
        <v>1102</v>
      </c>
      <c r="B75" s="11" t="s">
        <v>1103</v>
      </c>
      <c r="C75" s="27" t="s">
        <v>1104</v>
      </c>
      <c r="D75" s="85"/>
    </row>
    <row r="76" spans="1:4" x14ac:dyDescent="0.25">
      <c r="A76" s="106" t="s">
        <v>1488</v>
      </c>
      <c r="B76" s="85" t="s">
        <v>1105</v>
      </c>
      <c r="C76" s="309" t="s">
        <v>1489</v>
      </c>
      <c r="D76" s="85"/>
    </row>
    <row r="77" spans="1:4" x14ac:dyDescent="0.25">
      <c r="A77" s="106" t="s">
        <v>1490</v>
      </c>
      <c r="B77" s="85" t="s">
        <v>324</v>
      </c>
      <c r="C77" s="309" t="s">
        <v>309</v>
      </c>
      <c r="D77" s="85"/>
    </row>
    <row r="78" spans="1:4" ht="30" x14ac:dyDescent="0.25">
      <c r="A78" s="106" t="s">
        <v>1491</v>
      </c>
      <c r="B78" s="85" t="s">
        <v>1492</v>
      </c>
      <c r="C78" s="310">
        <f>CMHOSTNAME</f>
        <v>0</v>
      </c>
      <c r="D78" s="85"/>
    </row>
    <row r="79" spans="1:4" x14ac:dyDescent="0.25">
      <c r="A79" s="13" t="s">
        <v>1423</v>
      </c>
      <c r="B79" s="231" t="s">
        <v>1146</v>
      </c>
      <c r="C79" s="231" t="s">
        <v>1147</v>
      </c>
      <c r="D79" s="85"/>
    </row>
    <row r="80" spans="1:4" x14ac:dyDescent="0.25">
      <c r="A80" s="106"/>
      <c r="B80" s="85"/>
      <c r="C80" s="309"/>
      <c r="D80" s="85"/>
    </row>
    <row r="81" spans="1:4" x14ac:dyDescent="0.25">
      <c r="A81" s="9" t="s">
        <v>1502</v>
      </c>
      <c r="B81" s="6"/>
      <c r="C81" s="6"/>
      <c r="D81" s="12"/>
    </row>
    <row r="82" spans="1:4" ht="19.5" customHeight="1" x14ac:dyDescent="0.25">
      <c r="A82" s="182" t="s">
        <v>1498</v>
      </c>
      <c r="B82" s="12" t="s">
        <v>1499</v>
      </c>
      <c r="C82" s="21" t="s">
        <v>1104</v>
      </c>
      <c r="D82" s="12"/>
    </row>
    <row r="83" spans="1:4" x14ac:dyDescent="0.25">
      <c r="A83" s="106" t="s">
        <v>1488</v>
      </c>
      <c r="B83" s="85" t="s">
        <v>115</v>
      </c>
      <c r="C83" s="309" t="s">
        <v>1489</v>
      </c>
      <c r="D83" s="5"/>
    </row>
    <row r="84" spans="1:4" x14ac:dyDescent="0.25">
      <c r="A84" s="106" t="s">
        <v>1490</v>
      </c>
      <c r="B84" s="85" t="s">
        <v>324</v>
      </c>
      <c r="C84" s="309" t="s">
        <v>309</v>
      </c>
      <c r="D84" s="5"/>
    </row>
    <row r="85" spans="1:4" ht="30" x14ac:dyDescent="0.25">
      <c r="A85" s="106" t="s">
        <v>1497</v>
      </c>
      <c r="B85" s="85" t="s">
        <v>115</v>
      </c>
      <c r="C85" s="218">
        <f>CMHOSTNAME</f>
        <v>0</v>
      </c>
      <c r="D85" s="5"/>
    </row>
    <row r="86" spans="1:4" x14ac:dyDescent="0.25">
      <c r="A86" s="13" t="s">
        <v>1423</v>
      </c>
      <c r="B86" s="231" t="s">
        <v>1146</v>
      </c>
      <c r="C86" s="231" t="s">
        <v>1147</v>
      </c>
      <c r="D86" s="5"/>
    </row>
    <row r="87" spans="1:4" x14ac:dyDescent="0.25">
      <c r="A87" s="106"/>
      <c r="B87" s="85"/>
      <c r="C87" s="309"/>
      <c r="D87" s="5"/>
    </row>
    <row r="88" spans="1:4" x14ac:dyDescent="0.25">
      <c r="A88" s="130"/>
      <c r="B88" s="131"/>
      <c r="C88" s="101"/>
      <c r="D88" s="128"/>
    </row>
    <row r="89" spans="1:4" x14ac:dyDescent="0.25">
      <c r="A89" s="130"/>
      <c r="B89" s="131"/>
      <c r="C89" s="101"/>
      <c r="D89" s="128"/>
    </row>
    <row r="90" spans="1:4" x14ac:dyDescent="0.25">
      <c r="A90" s="130"/>
      <c r="B90" s="131"/>
      <c r="C90" s="101"/>
    </row>
  </sheetData>
  <sheetProtection sheet="1" objects="1" scenarios="1"/>
  <dataConsolidate/>
  <hyperlinks>
    <hyperlink ref="C29" r:id="rId1" display="messaging@(=SIPDOMAIN)"/>
    <hyperlink ref="C31" r:id="rId2" display="messaging@(=SIPDOMAIN)"/>
  </hyperlinks>
  <pageMargins left="0.7" right="0.7" top="0.75" bottom="0.75" header="0.3" footer="0.3"/>
  <pageSetup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36"/>
  <sheetViews>
    <sheetView zoomScaleNormal="100" workbookViewId="0">
      <pane ySplit="1" topLeftCell="A2" activePane="bottomLeft" state="frozen"/>
      <selection activeCell="C89" sqref="C89"/>
      <selection pane="bottomLeft" activeCell="C89" sqref="C89"/>
    </sheetView>
  </sheetViews>
  <sheetFormatPr defaultRowHeight="15" x14ac:dyDescent="0.25"/>
  <cols>
    <col min="1" max="1" width="65.7109375" customWidth="1"/>
    <col min="2" max="2" width="32" style="1" customWidth="1"/>
    <col min="3" max="3" width="36.7109375" style="1" customWidth="1"/>
    <col min="4" max="4" width="33" customWidth="1"/>
  </cols>
  <sheetData>
    <row r="1" spans="1:4" ht="15.75" thickBot="1" x14ac:dyDescent="0.3">
      <c r="A1" s="42" t="s">
        <v>11</v>
      </c>
      <c r="B1" s="43" t="s">
        <v>3</v>
      </c>
      <c r="C1" s="44" t="s">
        <v>193</v>
      </c>
      <c r="D1" s="45" t="s">
        <v>122</v>
      </c>
    </row>
    <row r="2" spans="1:4" ht="75.75" thickTop="1" x14ac:dyDescent="0.25">
      <c r="A2" s="193" t="s">
        <v>834</v>
      </c>
      <c r="B2" s="12"/>
      <c r="C2" s="27"/>
      <c r="D2" s="16" t="s">
        <v>835</v>
      </c>
    </row>
    <row r="3" spans="1:4" x14ac:dyDescent="0.25">
      <c r="A3" s="220"/>
      <c r="B3" s="195"/>
      <c r="C3" s="221"/>
      <c r="D3" s="196"/>
    </row>
    <row r="4" spans="1:4" x14ac:dyDescent="0.25">
      <c r="A4" s="128"/>
      <c r="B4" s="101"/>
      <c r="C4" s="101"/>
      <c r="D4" s="115"/>
    </row>
    <row r="5" spans="1:4" x14ac:dyDescent="0.25">
      <c r="A5" s="123"/>
      <c r="B5" s="101"/>
      <c r="C5" s="101"/>
      <c r="D5" s="115"/>
    </row>
    <row r="6" spans="1:4" x14ac:dyDescent="0.25">
      <c r="A6" s="128"/>
      <c r="B6" s="101"/>
      <c r="C6" s="101"/>
      <c r="D6" s="112"/>
    </row>
    <row r="7" spans="1:4" x14ac:dyDescent="0.25">
      <c r="A7" s="130"/>
      <c r="B7" s="131"/>
      <c r="C7" s="131"/>
      <c r="D7" s="112"/>
    </row>
    <row r="8" spans="1:4" x14ac:dyDescent="0.25">
      <c r="A8" s="132"/>
      <c r="B8" s="125"/>
      <c r="C8" s="125"/>
      <c r="D8" s="132"/>
    </row>
    <row r="9" spans="1:4" x14ac:dyDescent="0.25">
      <c r="A9" s="128"/>
      <c r="B9" s="101"/>
      <c r="C9" s="101"/>
      <c r="D9" s="112"/>
    </row>
    <row r="10" spans="1:4" x14ac:dyDescent="0.25">
      <c r="A10" s="128"/>
      <c r="B10" s="101"/>
      <c r="C10" s="101"/>
      <c r="D10" s="112"/>
    </row>
    <row r="11" spans="1:4" x14ac:dyDescent="0.25">
      <c r="A11" s="123"/>
      <c r="B11" s="101"/>
      <c r="C11" s="101"/>
      <c r="D11" s="112"/>
    </row>
    <row r="12" spans="1:4" x14ac:dyDescent="0.25">
      <c r="A12" s="124"/>
      <c r="B12" s="114"/>
      <c r="C12" s="115"/>
      <c r="D12" s="115"/>
    </row>
    <row r="13" spans="1:4" x14ac:dyDescent="0.25">
      <c r="A13" s="110"/>
      <c r="B13" s="111"/>
      <c r="C13" s="111"/>
      <c r="D13" s="115"/>
    </row>
    <row r="14" spans="1:4" x14ac:dyDescent="0.25">
      <c r="A14" s="110"/>
      <c r="B14" s="111"/>
      <c r="C14" s="111"/>
      <c r="D14" s="115"/>
    </row>
    <row r="15" spans="1:4" x14ac:dyDescent="0.25">
      <c r="A15" s="110"/>
      <c r="B15" s="111"/>
      <c r="C15" s="111"/>
      <c r="D15" s="115"/>
    </row>
    <row r="16" spans="1:4" x14ac:dyDescent="0.25">
      <c r="A16" s="110"/>
      <c r="B16" s="111"/>
      <c r="C16" s="111"/>
      <c r="D16" s="115"/>
    </row>
    <row r="17" spans="1:4" x14ac:dyDescent="0.25">
      <c r="A17" s="119"/>
      <c r="B17" s="115"/>
      <c r="C17" s="115"/>
      <c r="D17" s="115"/>
    </row>
    <row r="18" spans="1:4" x14ac:dyDescent="0.25">
      <c r="A18" s="110"/>
      <c r="B18" s="111"/>
      <c r="C18" s="111"/>
      <c r="D18" s="115"/>
    </row>
    <row r="19" spans="1:4" x14ac:dyDescent="0.25">
      <c r="A19" s="123"/>
      <c r="B19" s="101"/>
      <c r="C19" s="101"/>
      <c r="D19" s="133"/>
    </row>
    <row r="20" spans="1:4" x14ac:dyDescent="0.25">
      <c r="A20" s="110"/>
      <c r="B20" s="101"/>
      <c r="C20" s="134"/>
      <c r="D20" s="133"/>
    </row>
    <row r="21" spans="1:4" x14ac:dyDescent="0.25">
      <c r="A21" s="110"/>
      <c r="B21" s="101"/>
      <c r="C21" s="101"/>
      <c r="D21" s="133"/>
    </row>
    <row r="22" spans="1:4" x14ac:dyDescent="0.25">
      <c r="A22" s="110"/>
      <c r="B22" s="101"/>
      <c r="C22" s="101"/>
      <c r="D22" s="133"/>
    </row>
    <row r="23" spans="1:4" x14ac:dyDescent="0.25">
      <c r="A23" s="110"/>
      <c r="B23" s="101"/>
      <c r="C23" s="101"/>
      <c r="D23" s="133"/>
    </row>
    <row r="24" spans="1:4" x14ac:dyDescent="0.25">
      <c r="A24" s="135"/>
      <c r="B24" s="125"/>
      <c r="C24" s="125"/>
      <c r="D24" s="133"/>
    </row>
    <row r="25" spans="1:4" x14ac:dyDescent="0.25">
      <c r="A25" s="136"/>
      <c r="B25" s="125"/>
      <c r="C25" s="125"/>
      <c r="D25" s="133"/>
    </row>
    <row r="26" spans="1:4" x14ac:dyDescent="0.25">
      <c r="A26" s="132"/>
      <c r="B26" s="112"/>
      <c r="C26" s="137"/>
      <c r="D26" s="132"/>
    </row>
    <row r="27" spans="1:4" x14ac:dyDescent="0.25">
      <c r="A27" s="132"/>
      <c r="B27" s="112"/>
      <c r="C27" s="112"/>
      <c r="D27" s="132"/>
    </row>
    <row r="28" spans="1:4" x14ac:dyDescent="0.25">
      <c r="A28" s="138"/>
      <c r="B28" s="139"/>
      <c r="C28" s="139"/>
      <c r="D28" s="140"/>
    </row>
    <row r="29" spans="1:4" x14ac:dyDescent="0.25">
      <c r="A29" s="123"/>
      <c r="B29" s="101"/>
      <c r="C29" s="101"/>
      <c r="D29" s="112"/>
    </row>
    <row r="30" spans="1:4" x14ac:dyDescent="0.25">
      <c r="A30" s="124"/>
      <c r="B30" s="139"/>
      <c r="C30" s="139"/>
      <c r="D30" s="140"/>
    </row>
    <row r="31" spans="1:4" x14ac:dyDescent="0.25">
      <c r="A31" s="110"/>
      <c r="B31" s="101"/>
      <c r="C31" s="101"/>
      <c r="D31" s="133"/>
    </row>
    <row r="32" spans="1:4" x14ac:dyDescent="0.25">
      <c r="A32" s="110"/>
      <c r="B32" s="101"/>
      <c r="C32" s="101"/>
      <c r="D32" s="133"/>
    </row>
    <row r="33" spans="1:4" s="77" customFormat="1" x14ac:dyDescent="0.25">
      <c r="A33" s="119"/>
      <c r="B33" s="112"/>
      <c r="C33" s="112"/>
      <c r="D33" s="141"/>
    </row>
    <row r="34" spans="1:4" x14ac:dyDescent="0.25">
      <c r="A34" s="124"/>
      <c r="B34" s="125"/>
      <c r="C34" s="125"/>
      <c r="D34" s="133"/>
    </row>
    <row r="35" spans="1:4" x14ac:dyDescent="0.25">
      <c r="A35" s="124"/>
      <c r="B35" s="112"/>
      <c r="C35" s="112"/>
      <c r="D35" s="133"/>
    </row>
    <row r="36" spans="1:4" x14ac:dyDescent="0.25">
      <c r="A36" s="130"/>
      <c r="B36" s="130"/>
      <c r="C36" s="130"/>
      <c r="D36" s="130"/>
    </row>
  </sheetData>
  <sheetProtection sheet="1" objects="1" scenarios="1"/>
  <dataConsolid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V69"/>
  <sheetViews>
    <sheetView zoomScaleNormal="100" workbookViewId="0">
      <pane ySplit="1" topLeftCell="A14" activePane="bottomLeft" state="frozen"/>
      <selection activeCell="C89" sqref="C89"/>
      <selection pane="bottomLeft" activeCell="A11" sqref="A11"/>
    </sheetView>
  </sheetViews>
  <sheetFormatPr defaultRowHeight="15" x14ac:dyDescent="0.25"/>
  <cols>
    <col min="1" max="1" width="65.7109375" style="351" customWidth="1"/>
    <col min="2" max="2" width="32" style="379" customWidth="1"/>
    <col min="3" max="3" width="36.7109375" style="379" customWidth="1"/>
    <col min="4" max="4" width="33" customWidth="1"/>
  </cols>
  <sheetData>
    <row r="1" spans="1:4" ht="15.75" thickBot="1" x14ac:dyDescent="0.3">
      <c r="A1" s="354" t="s">
        <v>11</v>
      </c>
      <c r="B1" s="381" t="s">
        <v>3</v>
      </c>
      <c r="C1" s="377" t="s">
        <v>193</v>
      </c>
      <c r="D1" s="45" t="s">
        <v>122</v>
      </c>
    </row>
    <row r="2" spans="1:4" ht="15.75" thickTop="1" x14ac:dyDescent="0.25">
      <c r="A2" s="371" t="s">
        <v>1771</v>
      </c>
      <c r="B2" s="349"/>
      <c r="C2" s="378"/>
      <c r="D2" s="348"/>
    </row>
    <row r="3" spans="1:4" ht="45" x14ac:dyDescent="0.25">
      <c r="A3" s="17" t="s">
        <v>1772</v>
      </c>
      <c r="B3" s="12" t="s">
        <v>219</v>
      </c>
      <c r="C3" s="96" t="str">
        <f>CONCATENATE("https://",PS6IP,":7300/admin")</f>
        <v>https://:7300/admin</v>
      </c>
      <c r="D3" s="29" t="s">
        <v>123</v>
      </c>
    </row>
    <row r="4" spans="1:4" ht="45" x14ac:dyDescent="0.25">
      <c r="A4" s="90" t="s">
        <v>487</v>
      </c>
      <c r="B4" s="348" t="s">
        <v>42</v>
      </c>
      <c r="C4" s="109" t="s">
        <v>1524</v>
      </c>
      <c r="D4" s="31" t="s">
        <v>1635</v>
      </c>
    </row>
    <row r="5" spans="1:4" ht="60.75" thickBot="1" x14ac:dyDescent="0.3">
      <c r="A5" s="206" t="s">
        <v>323</v>
      </c>
      <c r="B5" s="57" t="s">
        <v>321</v>
      </c>
      <c r="C5" s="384" t="s">
        <v>322</v>
      </c>
      <c r="D5" s="54" t="s">
        <v>1769</v>
      </c>
    </row>
    <row r="6" spans="1:4" ht="30.75" thickTop="1" x14ac:dyDescent="0.25">
      <c r="A6" s="372" t="s">
        <v>1770</v>
      </c>
      <c r="B6" s="11"/>
      <c r="C6" s="21"/>
      <c r="D6" s="179"/>
    </row>
    <row r="7" spans="1:4" ht="45" x14ac:dyDescent="0.25">
      <c r="A7" s="17" t="s">
        <v>1779</v>
      </c>
      <c r="B7" s="12" t="s">
        <v>219</v>
      </c>
      <c r="C7" s="96" t="str">
        <f>CONCATENATE("http://",CDOMIP)</f>
        <v>http://</v>
      </c>
      <c r="D7" s="29" t="s">
        <v>123</v>
      </c>
    </row>
    <row r="8" spans="1:4" x14ac:dyDescent="0.25">
      <c r="A8" s="17" t="s">
        <v>1780</v>
      </c>
      <c r="B8" s="12" t="s">
        <v>42</v>
      </c>
      <c r="C8" s="370" t="s">
        <v>31</v>
      </c>
      <c r="D8" s="12"/>
    </row>
    <row r="9" spans="1:4" x14ac:dyDescent="0.25">
      <c r="A9" s="169" t="s">
        <v>547</v>
      </c>
      <c r="B9" s="379" t="s">
        <v>548</v>
      </c>
      <c r="C9" s="11" t="s">
        <v>549</v>
      </c>
      <c r="D9" s="12"/>
    </row>
    <row r="10" spans="1:4" x14ac:dyDescent="0.25">
      <c r="A10" s="169" t="s">
        <v>550</v>
      </c>
      <c r="B10" s="11" t="s">
        <v>115</v>
      </c>
      <c r="C10" s="11" t="s">
        <v>551</v>
      </c>
      <c r="D10" s="12"/>
    </row>
    <row r="11" spans="1:4" x14ac:dyDescent="0.25">
      <c r="A11" s="373" t="s">
        <v>552</v>
      </c>
      <c r="B11" s="37" t="s">
        <v>553</v>
      </c>
      <c r="C11" s="37" t="s">
        <v>554</v>
      </c>
      <c r="D11" s="23"/>
    </row>
    <row r="12" spans="1:4" x14ac:dyDescent="0.25">
      <c r="A12" s="373" t="s">
        <v>555</v>
      </c>
      <c r="B12" s="37" t="s">
        <v>459</v>
      </c>
      <c r="C12" s="37" t="s">
        <v>556</v>
      </c>
      <c r="D12" s="23"/>
    </row>
    <row r="13" spans="1:4" ht="30.75" thickBot="1" x14ac:dyDescent="0.3">
      <c r="A13" s="385" t="s">
        <v>1773</v>
      </c>
      <c r="B13" s="298" t="s">
        <v>557</v>
      </c>
      <c r="C13" s="298" t="s">
        <v>558</v>
      </c>
      <c r="D13" s="298"/>
    </row>
    <row r="14" spans="1:4" ht="30.75" thickTop="1" x14ac:dyDescent="0.25">
      <c r="A14" s="372" t="s">
        <v>1768</v>
      </c>
      <c r="B14" s="11"/>
      <c r="C14" s="11"/>
      <c r="D14" s="274"/>
    </row>
    <row r="15" spans="1:4" x14ac:dyDescent="0.25">
      <c r="A15" s="169" t="s">
        <v>741</v>
      </c>
      <c r="B15" s="12" t="s">
        <v>278</v>
      </c>
      <c r="C15" s="188" t="s">
        <v>742</v>
      </c>
      <c r="D15" s="29"/>
    </row>
    <row r="16" spans="1:4" x14ac:dyDescent="0.25">
      <c r="A16" s="17" t="s">
        <v>1750</v>
      </c>
      <c r="B16" s="348" t="s">
        <v>1751</v>
      </c>
      <c r="C16" s="189" t="s">
        <v>1752</v>
      </c>
      <c r="D16" s="31"/>
    </row>
    <row r="17" spans="1:4" ht="30" x14ac:dyDescent="0.25">
      <c r="A17" s="17" t="s">
        <v>1753</v>
      </c>
      <c r="B17" s="348" t="s">
        <v>1754</v>
      </c>
      <c r="C17" s="189" t="s">
        <v>1755</v>
      </c>
      <c r="D17" s="29"/>
    </row>
    <row r="18" spans="1:4" x14ac:dyDescent="0.25">
      <c r="A18" s="17" t="s">
        <v>1776</v>
      </c>
      <c r="B18" s="348" t="s">
        <v>1756</v>
      </c>
      <c r="C18" s="189" t="s">
        <v>1757</v>
      </c>
      <c r="D18" s="29"/>
    </row>
    <row r="19" spans="1:4" ht="45" x14ac:dyDescent="0.25">
      <c r="A19" s="17" t="s">
        <v>1760</v>
      </c>
      <c r="B19" s="348" t="s">
        <v>1758</v>
      </c>
      <c r="C19" s="189" t="s">
        <v>1759</v>
      </c>
      <c r="D19" s="29"/>
    </row>
    <row r="20" spans="1:4" ht="30" x14ac:dyDescent="0.25">
      <c r="A20" s="17" t="s">
        <v>1762</v>
      </c>
      <c r="B20" s="348" t="s">
        <v>1761</v>
      </c>
      <c r="C20" s="383" t="s">
        <v>1763</v>
      </c>
      <c r="D20" s="29" t="s">
        <v>746</v>
      </c>
    </row>
    <row r="21" spans="1:4" ht="30" x14ac:dyDescent="0.25">
      <c r="A21" s="17" t="s">
        <v>1764</v>
      </c>
      <c r="B21" s="348" t="s">
        <v>1761</v>
      </c>
      <c r="C21" s="383" t="s">
        <v>1765</v>
      </c>
      <c r="D21" s="29" t="s">
        <v>746</v>
      </c>
    </row>
    <row r="22" spans="1:4" x14ac:dyDescent="0.25">
      <c r="A22" s="17" t="s">
        <v>1766</v>
      </c>
      <c r="B22" s="348" t="s">
        <v>748</v>
      </c>
      <c r="C22" s="189" t="s">
        <v>749</v>
      </c>
      <c r="D22" s="29"/>
    </row>
    <row r="23" spans="1:4" x14ac:dyDescent="0.25">
      <c r="A23" s="17" t="s">
        <v>1767</v>
      </c>
      <c r="B23" s="348" t="s">
        <v>1</v>
      </c>
      <c r="C23" s="189" t="s">
        <v>1</v>
      </c>
      <c r="D23" s="29"/>
    </row>
    <row r="24" spans="1:4" x14ac:dyDescent="0.25">
      <c r="A24" s="374"/>
      <c r="B24" s="115"/>
      <c r="C24" s="115"/>
      <c r="D24" s="115"/>
    </row>
    <row r="25" spans="1:4" x14ac:dyDescent="0.25">
      <c r="A25" s="119"/>
      <c r="B25" s="382"/>
      <c r="C25" s="380"/>
      <c r="D25" s="122"/>
    </row>
    <row r="26" spans="1:4" x14ac:dyDescent="0.25">
      <c r="A26" s="116"/>
      <c r="B26" s="125"/>
      <c r="C26" s="125"/>
      <c r="D26" s="112"/>
    </row>
    <row r="27" spans="1:4" x14ac:dyDescent="0.25">
      <c r="A27" s="135"/>
      <c r="B27" s="125"/>
      <c r="C27" s="125"/>
      <c r="D27" s="112"/>
    </row>
    <row r="28" spans="1:4" x14ac:dyDescent="0.25">
      <c r="A28" s="375"/>
      <c r="B28" s="125"/>
      <c r="C28" s="125"/>
      <c r="D28" s="112"/>
    </row>
    <row r="29" spans="1:4" x14ac:dyDescent="0.25">
      <c r="A29" s="124"/>
      <c r="B29" s="125"/>
      <c r="C29" s="125"/>
      <c r="D29" s="112"/>
    </row>
    <row r="30" spans="1:4" x14ac:dyDescent="0.25">
      <c r="A30" s="135"/>
      <c r="B30" s="112"/>
      <c r="C30" s="127"/>
      <c r="D30" s="115"/>
    </row>
    <row r="31" spans="1:4" x14ac:dyDescent="0.25">
      <c r="A31" s="119"/>
      <c r="B31" s="112"/>
      <c r="C31" s="125"/>
      <c r="D31" s="112"/>
    </row>
    <row r="32" spans="1:4" x14ac:dyDescent="0.25">
      <c r="A32" s="119"/>
      <c r="B32" s="112"/>
      <c r="C32" s="127"/>
      <c r="D32" s="112"/>
    </row>
    <row r="33" spans="1:4" x14ac:dyDescent="0.25">
      <c r="A33" s="119"/>
      <c r="B33" s="125"/>
      <c r="C33" s="127"/>
      <c r="D33" s="115"/>
    </row>
    <row r="34" spans="1:4" x14ac:dyDescent="0.25">
      <c r="A34" s="376"/>
      <c r="B34" s="125"/>
      <c r="C34" s="114"/>
      <c r="D34" s="112"/>
    </row>
    <row r="35" spans="1:4" x14ac:dyDescent="0.25">
      <c r="A35" s="376"/>
      <c r="B35" s="125"/>
      <c r="C35" s="125"/>
      <c r="D35" s="115"/>
    </row>
    <row r="36" spans="1:4" x14ac:dyDescent="0.25">
      <c r="A36" s="376"/>
      <c r="B36" s="125"/>
      <c r="C36" s="125"/>
      <c r="D36" s="115"/>
    </row>
    <row r="37" spans="1:4" x14ac:dyDescent="0.25">
      <c r="A37" s="376"/>
      <c r="B37" s="125"/>
      <c r="C37" s="125"/>
      <c r="D37" s="115"/>
    </row>
    <row r="38" spans="1:4" x14ac:dyDescent="0.25">
      <c r="A38" s="375"/>
      <c r="B38" s="125"/>
      <c r="C38" s="125"/>
      <c r="D38" s="112"/>
    </row>
    <row r="39" spans="1:4" x14ac:dyDescent="0.25">
      <c r="A39" s="376"/>
      <c r="B39" s="131"/>
      <c r="C39" s="131"/>
      <c r="D39" s="112"/>
    </row>
    <row r="40" spans="1:4" x14ac:dyDescent="0.25">
      <c r="A40" s="130"/>
      <c r="B40" s="125"/>
      <c r="C40" s="125"/>
      <c r="D40" s="132"/>
    </row>
    <row r="41" spans="1:4" x14ac:dyDescent="0.25">
      <c r="A41" s="132"/>
      <c r="B41" s="125"/>
      <c r="C41" s="125"/>
      <c r="D41" s="112"/>
    </row>
    <row r="42" spans="1:4" x14ac:dyDescent="0.25">
      <c r="A42" s="376"/>
      <c r="B42" s="125"/>
      <c r="C42" s="125"/>
      <c r="D42" s="112"/>
    </row>
    <row r="43" spans="1:4" x14ac:dyDescent="0.25">
      <c r="A43" s="376"/>
      <c r="B43" s="125"/>
      <c r="C43" s="125"/>
      <c r="D43" s="112"/>
    </row>
    <row r="44" spans="1:4" x14ac:dyDescent="0.25">
      <c r="A44" s="375"/>
      <c r="B44" s="114"/>
      <c r="C44" s="115"/>
      <c r="D44" s="115"/>
    </row>
    <row r="45" spans="1:4" x14ac:dyDescent="0.25">
      <c r="A45" s="124"/>
      <c r="B45" s="114"/>
      <c r="C45" s="114"/>
      <c r="D45" s="115"/>
    </row>
    <row r="46" spans="1:4" x14ac:dyDescent="0.25">
      <c r="A46" s="135"/>
      <c r="B46" s="114"/>
      <c r="C46" s="114"/>
      <c r="D46" s="115"/>
    </row>
    <row r="47" spans="1:4" x14ac:dyDescent="0.25">
      <c r="A47" s="135"/>
      <c r="B47" s="114"/>
      <c r="C47" s="114"/>
      <c r="D47" s="115"/>
    </row>
    <row r="48" spans="1:4" x14ac:dyDescent="0.25">
      <c r="A48" s="135"/>
      <c r="B48" s="114"/>
      <c r="C48" s="114"/>
      <c r="D48" s="115"/>
    </row>
    <row r="49" spans="1:256" x14ac:dyDescent="0.25">
      <c r="A49" s="135"/>
      <c r="B49" s="115"/>
      <c r="C49" s="115"/>
      <c r="D49" s="115"/>
    </row>
    <row r="50" spans="1:256" x14ac:dyDescent="0.25">
      <c r="A50" s="119"/>
      <c r="B50" s="114"/>
      <c r="C50" s="114"/>
      <c r="D50" s="115"/>
    </row>
    <row r="51" spans="1:256" x14ac:dyDescent="0.25">
      <c r="A51" s="135"/>
      <c r="B51" s="125"/>
      <c r="C51" s="125"/>
      <c r="D51" s="133"/>
    </row>
    <row r="52" spans="1:256" x14ac:dyDescent="0.25">
      <c r="A52" s="375"/>
      <c r="B52" s="125"/>
      <c r="C52" s="145"/>
      <c r="D52" s="133"/>
    </row>
    <row r="53" spans="1:256" x14ac:dyDescent="0.25">
      <c r="A53" s="135"/>
      <c r="B53" s="125"/>
      <c r="C53" s="125"/>
      <c r="D53" s="133"/>
    </row>
    <row r="54" spans="1:256" x14ac:dyDescent="0.25">
      <c r="A54" s="135"/>
      <c r="B54" s="125"/>
      <c r="C54" s="125"/>
      <c r="D54" s="133"/>
    </row>
    <row r="55" spans="1:256" x14ac:dyDescent="0.25">
      <c r="A55" s="135"/>
      <c r="B55" s="125"/>
      <c r="C55" s="125"/>
      <c r="D55" s="133"/>
    </row>
    <row r="56" spans="1:256" x14ac:dyDescent="0.25">
      <c r="A56" s="135"/>
      <c r="B56" s="125"/>
      <c r="C56" s="125"/>
      <c r="D56" s="133"/>
    </row>
    <row r="57" spans="1:256" s="77" customFormat="1" x14ac:dyDescent="0.25">
      <c r="A57" s="135"/>
      <c r="B57" s="125"/>
      <c r="C57" s="125"/>
      <c r="D57" s="133"/>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x14ac:dyDescent="0.25">
      <c r="A58" s="136"/>
      <c r="B58" s="112"/>
      <c r="C58" s="137"/>
      <c r="D58" s="132"/>
    </row>
    <row r="59" spans="1:256" x14ac:dyDescent="0.25">
      <c r="A59" s="132"/>
      <c r="B59" s="112"/>
      <c r="C59" s="112"/>
      <c r="D59" s="132"/>
    </row>
    <row r="60" spans="1:256" x14ac:dyDescent="0.25">
      <c r="A60" s="132"/>
      <c r="B60" s="139"/>
      <c r="C60" s="139"/>
      <c r="D60" s="140"/>
    </row>
    <row r="61" spans="1:256" x14ac:dyDescent="0.25">
      <c r="A61" s="124"/>
      <c r="B61" s="125"/>
      <c r="C61" s="125"/>
      <c r="D61" s="112"/>
    </row>
    <row r="62" spans="1:256" x14ac:dyDescent="0.25">
      <c r="A62" s="375"/>
      <c r="B62" s="139"/>
      <c r="C62" s="139"/>
      <c r="D62" s="140"/>
    </row>
    <row r="63" spans="1:256" x14ac:dyDescent="0.25">
      <c r="A63" s="124"/>
      <c r="B63" s="125"/>
      <c r="C63" s="125"/>
      <c r="D63" s="133"/>
    </row>
    <row r="64" spans="1:256" x14ac:dyDescent="0.25">
      <c r="A64" s="135"/>
      <c r="B64" s="125"/>
      <c r="C64" s="125"/>
      <c r="D64" s="133"/>
    </row>
    <row r="65" spans="1:256" x14ac:dyDescent="0.25">
      <c r="A65" s="135"/>
      <c r="B65" s="112"/>
      <c r="C65" s="112"/>
      <c r="D65" s="141"/>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c r="FO65" s="77"/>
      <c r="FP65" s="77"/>
      <c r="FQ65" s="77"/>
      <c r="FR65" s="77"/>
      <c r="FS65" s="77"/>
      <c r="FT65" s="77"/>
      <c r="FU65" s="77"/>
      <c r="FV65" s="77"/>
      <c r="FW65" s="77"/>
      <c r="FX65" s="77"/>
      <c r="FY65" s="77"/>
      <c r="FZ65" s="77"/>
      <c r="GA65" s="77"/>
      <c r="GB65" s="77"/>
      <c r="GC65" s="77"/>
      <c r="GD65" s="77"/>
      <c r="GE65" s="77"/>
      <c r="GF65" s="77"/>
      <c r="GG65" s="77"/>
      <c r="GH65" s="77"/>
      <c r="GI65" s="77"/>
      <c r="GJ65" s="77"/>
      <c r="GK65" s="77"/>
      <c r="GL65" s="77"/>
      <c r="GM65" s="77"/>
      <c r="GN65" s="77"/>
      <c r="GO65" s="77"/>
      <c r="GP65" s="77"/>
      <c r="GQ65" s="77"/>
      <c r="GR65" s="77"/>
      <c r="GS65" s="77"/>
      <c r="GT65" s="77"/>
      <c r="GU65" s="77"/>
      <c r="GV65" s="77"/>
      <c r="GW65" s="77"/>
      <c r="GX65" s="77"/>
      <c r="GY65" s="77"/>
      <c r="GZ65" s="77"/>
      <c r="HA65" s="77"/>
      <c r="HB65" s="77"/>
      <c r="HC65" s="77"/>
      <c r="HD65" s="77"/>
      <c r="HE65" s="77"/>
      <c r="HF65" s="77"/>
      <c r="HG65" s="77"/>
      <c r="HH65" s="77"/>
      <c r="HI65" s="77"/>
      <c r="HJ65" s="77"/>
      <c r="HK65" s="77"/>
      <c r="HL65" s="77"/>
      <c r="HM65" s="77"/>
      <c r="HN65" s="77"/>
      <c r="HO65" s="77"/>
      <c r="HP65" s="77"/>
      <c r="HQ65" s="77"/>
      <c r="HR65" s="77"/>
      <c r="HS65" s="77"/>
      <c r="HT65" s="77"/>
      <c r="HU65" s="77"/>
      <c r="HV65" s="77"/>
      <c r="HW65" s="77"/>
      <c r="HX65" s="77"/>
      <c r="HY65" s="77"/>
      <c r="HZ65" s="77"/>
      <c r="IA65" s="77"/>
      <c r="IB65" s="77"/>
      <c r="IC65" s="77"/>
      <c r="ID65" s="77"/>
      <c r="IE65" s="77"/>
      <c r="IF65" s="77"/>
      <c r="IG65" s="77"/>
      <c r="IH65" s="77"/>
      <c r="II65" s="77"/>
      <c r="IJ65" s="77"/>
      <c r="IK65" s="77"/>
      <c r="IL65" s="77"/>
      <c r="IM65" s="77"/>
      <c r="IN65" s="77"/>
      <c r="IO65" s="77"/>
      <c r="IP65" s="77"/>
      <c r="IQ65" s="77"/>
      <c r="IR65" s="77"/>
      <c r="IS65" s="77"/>
      <c r="IT65" s="77"/>
      <c r="IU65" s="77"/>
      <c r="IV65" s="77"/>
    </row>
    <row r="66" spans="1:256" x14ac:dyDescent="0.25">
      <c r="A66" s="119"/>
      <c r="B66" s="125"/>
      <c r="C66" s="125"/>
      <c r="D66" s="133"/>
    </row>
    <row r="67" spans="1:256" x14ac:dyDescent="0.25">
      <c r="A67" s="124"/>
      <c r="B67" s="112"/>
      <c r="C67" s="112"/>
      <c r="D67" s="133"/>
    </row>
    <row r="68" spans="1:256" x14ac:dyDescent="0.25">
      <c r="A68" s="124"/>
      <c r="B68" s="130"/>
      <c r="C68" s="130"/>
      <c r="D68" s="130"/>
    </row>
    <row r="69" spans="1:256" x14ac:dyDescent="0.25">
      <c r="A69" s="130"/>
    </row>
  </sheetData>
  <sheetProtection sheet="1" objects="1" scenarios="1"/>
  <dataConsolidate/>
  <hyperlinks>
    <hyperlink ref="C15" r:id="rId1"/>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pane ySplit="1" topLeftCell="A45" activePane="bottomLeft" state="frozen"/>
      <selection activeCell="C89" sqref="C89"/>
      <selection pane="bottomLeft" activeCell="A19" sqref="A19"/>
    </sheetView>
  </sheetViews>
  <sheetFormatPr defaultRowHeight="15" x14ac:dyDescent="0.25"/>
  <cols>
    <col min="1" max="1" width="66.7109375" customWidth="1"/>
    <col min="2" max="2" width="38.7109375" style="246" customWidth="1"/>
    <col min="3" max="3" width="36.7109375" style="1" customWidth="1"/>
    <col min="4" max="4" width="26.28515625" style="1" customWidth="1"/>
  </cols>
  <sheetData>
    <row r="1" spans="1:4" ht="15.75" thickBot="1" x14ac:dyDescent="0.3">
      <c r="A1" s="42" t="s">
        <v>11</v>
      </c>
      <c r="B1" s="245" t="s">
        <v>3</v>
      </c>
      <c r="C1" s="82" t="s">
        <v>193</v>
      </c>
      <c r="D1" s="43" t="s">
        <v>122</v>
      </c>
    </row>
    <row r="2" spans="1:4" ht="75.75" thickTop="1" x14ac:dyDescent="0.25">
      <c r="A2" s="107" t="s">
        <v>1428</v>
      </c>
      <c r="B2" s="12"/>
      <c r="C2" s="12"/>
      <c r="D2" s="17" t="s">
        <v>1156</v>
      </c>
    </row>
    <row r="3" spans="1:4" ht="75.75" thickBot="1" x14ac:dyDescent="0.3">
      <c r="A3" s="206" t="s">
        <v>1395</v>
      </c>
      <c r="B3" s="57" t="s">
        <v>1157</v>
      </c>
      <c r="C3" s="294" t="s">
        <v>1159</v>
      </c>
      <c r="D3" s="53" t="s">
        <v>1215</v>
      </c>
    </row>
    <row r="4" spans="1:4" ht="90.75" thickTop="1" x14ac:dyDescent="0.25">
      <c r="A4" s="107" t="s">
        <v>1650</v>
      </c>
      <c r="B4" s="22"/>
      <c r="C4" s="22"/>
      <c r="D4" s="90" t="s">
        <v>1172</v>
      </c>
    </row>
    <row r="5" spans="1:4" ht="45" x14ac:dyDescent="0.25">
      <c r="A5" s="17" t="s">
        <v>1398</v>
      </c>
      <c r="B5" s="12" t="s">
        <v>219</v>
      </c>
      <c r="C5" s="68" t="str">
        <f>CONCATENATE("http://",STANDBY_CDOMIP)</f>
        <v>http://</v>
      </c>
      <c r="D5" s="32" t="s">
        <v>123</v>
      </c>
    </row>
    <row r="6" spans="1:4" x14ac:dyDescent="0.25">
      <c r="A6" s="8" t="s">
        <v>377</v>
      </c>
      <c r="B6" s="197" t="s">
        <v>378</v>
      </c>
      <c r="C6" s="38" t="s">
        <v>41</v>
      </c>
      <c r="D6" s="17"/>
    </row>
    <row r="7" spans="1:4" x14ac:dyDescent="0.25">
      <c r="A7" s="8" t="s">
        <v>1399</v>
      </c>
      <c r="B7" s="197" t="s">
        <v>43</v>
      </c>
      <c r="C7" s="235">
        <f>STANDBY_ADMINPASS</f>
        <v>0</v>
      </c>
      <c r="D7" s="17"/>
    </row>
    <row r="8" spans="1:4" ht="30" x14ac:dyDescent="0.25">
      <c r="A8" s="25" t="s">
        <v>1166</v>
      </c>
      <c r="B8" s="23" t="s">
        <v>1168</v>
      </c>
      <c r="C8" s="153" t="s">
        <v>375</v>
      </c>
      <c r="D8" s="23"/>
    </row>
    <row r="9" spans="1:4" x14ac:dyDescent="0.25">
      <c r="A9" s="8" t="s">
        <v>1167</v>
      </c>
      <c r="B9" s="197" t="s">
        <v>1078</v>
      </c>
      <c r="C9" s="38" t="s">
        <v>1169</v>
      </c>
      <c r="D9" s="23"/>
    </row>
    <row r="10" spans="1:4" x14ac:dyDescent="0.25">
      <c r="A10" s="8" t="s">
        <v>1163</v>
      </c>
      <c r="B10" s="197" t="s">
        <v>1170</v>
      </c>
      <c r="C10" s="38" t="s">
        <v>556</v>
      </c>
      <c r="D10" s="23"/>
    </row>
    <row r="11" spans="1:4" x14ac:dyDescent="0.25">
      <c r="A11" s="8" t="s">
        <v>218</v>
      </c>
      <c r="B11" s="197" t="s">
        <v>37</v>
      </c>
      <c r="C11" s="38" t="s">
        <v>255</v>
      </c>
      <c r="D11" s="23"/>
    </row>
    <row r="12" spans="1:4" x14ac:dyDescent="0.25">
      <c r="A12" s="8" t="s">
        <v>1164</v>
      </c>
      <c r="B12" s="197" t="s">
        <v>1170</v>
      </c>
      <c r="C12" s="38" t="s">
        <v>556</v>
      </c>
      <c r="D12" s="23"/>
    </row>
    <row r="13" spans="1:4" ht="30" x14ac:dyDescent="0.25">
      <c r="A13" s="17" t="s">
        <v>1165</v>
      </c>
      <c r="B13" s="12"/>
      <c r="C13" s="12"/>
      <c r="D13" s="12"/>
    </row>
    <row r="14" spans="1:4" ht="30" x14ac:dyDescent="0.25">
      <c r="A14" s="17" t="s">
        <v>1219</v>
      </c>
      <c r="B14" s="12" t="s">
        <v>1216</v>
      </c>
      <c r="C14" s="12" t="s">
        <v>375</v>
      </c>
      <c r="D14" s="17"/>
    </row>
    <row r="15" spans="1:4" ht="15.75" thickBot="1" x14ac:dyDescent="0.3">
      <c r="A15" s="295" t="s">
        <v>1171</v>
      </c>
      <c r="B15" s="261" t="s">
        <v>1148</v>
      </c>
      <c r="C15" s="296" t="s">
        <v>375</v>
      </c>
      <c r="D15" s="3"/>
    </row>
    <row r="16" spans="1:4" ht="15.75" thickTop="1" x14ac:dyDescent="0.25">
      <c r="A16" s="86" t="s">
        <v>1429</v>
      </c>
      <c r="B16" s="12"/>
      <c r="C16" s="12"/>
      <c r="D16" s="12"/>
    </row>
    <row r="17" spans="1:4" ht="45" x14ac:dyDescent="0.25">
      <c r="A17" s="17" t="s">
        <v>1219</v>
      </c>
      <c r="B17" s="12" t="s">
        <v>1216</v>
      </c>
      <c r="C17" s="12" t="s">
        <v>375</v>
      </c>
      <c r="D17" s="17" t="s">
        <v>1173</v>
      </c>
    </row>
    <row r="18" spans="1:4" x14ac:dyDescent="0.25">
      <c r="A18" s="24" t="s">
        <v>1191</v>
      </c>
      <c r="B18" s="16" t="s">
        <v>1174</v>
      </c>
      <c r="C18" s="79">
        <f>[0]!SVMIP</f>
        <v>0</v>
      </c>
      <c r="D18" s="6"/>
    </row>
    <row r="19" spans="1:4" x14ac:dyDescent="0.25">
      <c r="A19" s="80" t="s">
        <v>1186</v>
      </c>
      <c r="B19" s="12" t="s">
        <v>47</v>
      </c>
      <c r="C19" s="234">
        <v>162</v>
      </c>
      <c r="D19" s="12"/>
    </row>
    <row r="20" spans="1:4" x14ac:dyDescent="0.25">
      <c r="A20" s="17" t="s">
        <v>1187</v>
      </c>
      <c r="B20" s="12" t="s">
        <v>1175</v>
      </c>
      <c r="C20" s="27" t="s">
        <v>1176</v>
      </c>
      <c r="D20" s="157"/>
    </row>
    <row r="21" spans="1:4" x14ac:dyDescent="0.25">
      <c r="A21" s="93" t="s">
        <v>1183</v>
      </c>
      <c r="B21" s="12" t="s">
        <v>1177</v>
      </c>
      <c r="C21" s="12" t="s">
        <v>1178</v>
      </c>
      <c r="D21" s="17"/>
    </row>
    <row r="22" spans="1:4" x14ac:dyDescent="0.25">
      <c r="A22" s="17" t="s">
        <v>1184</v>
      </c>
      <c r="B22" s="12" t="s">
        <v>1179</v>
      </c>
      <c r="C22" s="12" t="s">
        <v>1180</v>
      </c>
      <c r="D22" s="17"/>
    </row>
    <row r="23" spans="1:4" x14ac:dyDescent="0.25">
      <c r="A23" s="17" t="s">
        <v>1185</v>
      </c>
      <c r="B23" s="12" t="s">
        <v>1181</v>
      </c>
      <c r="C23" s="12" t="s">
        <v>1182</v>
      </c>
      <c r="D23" s="17"/>
    </row>
    <row r="24" spans="1:4" ht="15.75" thickBot="1" x14ac:dyDescent="0.3">
      <c r="A24" s="206" t="s">
        <v>1217</v>
      </c>
      <c r="B24" s="57" t="s">
        <v>1218</v>
      </c>
      <c r="C24" s="57" t="s">
        <v>309</v>
      </c>
      <c r="D24" s="206"/>
    </row>
    <row r="25" spans="1:4" ht="135.75" thickTop="1" x14ac:dyDescent="0.25">
      <c r="A25" s="142" t="s">
        <v>1430</v>
      </c>
      <c r="B25" s="12"/>
      <c r="C25" s="12"/>
      <c r="D25" s="274" t="s">
        <v>1391</v>
      </c>
    </row>
    <row r="26" spans="1:4" ht="30" x14ac:dyDescent="0.25">
      <c r="A26" s="90" t="s">
        <v>1277</v>
      </c>
      <c r="B26" s="22" t="s">
        <v>1016</v>
      </c>
      <c r="C26" s="242" t="s">
        <v>1431</v>
      </c>
      <c r="D26" s="31"/>
    </row>
    <row r="27" spans="1:4" x14ac:dyDescent="0.25">
      <c r="A27" s="90" t="s">
        <v>1392</v>
      </c>
      <c r="B27" s="22" t="s">
        <v>1393</v>
      </c>
      <c r="C27" s="242" t="s">
        <v>1432</v>
      </c>
      <c r="D27" s="16"/>
    </row>
    <row r="28" spans="1:4" ht="15.75" thickBot="1" x14ac:dyDescent="0.3">
      <c r="A28" s="206" t="s">
        <v>1394</v>
      </c>
      <c r="B28" s="57" t="s">
        <v>459</v>
      </c>
      <c r="C28" s="57" t="s">
        <v>556</v>
      </c>
      <c r="D28" s="206"/>
    </row>
    <row r="29" spans="1:4" ht="30.75" thickTop="1" x14ac:dyDescent="0.25">
      <c r="A29" s="142" t="s">
        <v>1433</v>
      </c>
      <c r="B29" s="22"/>
      <c r="C29" s="22"/>
      <c r="D29" s="90"/>
    </row>
    <row r="30" spans="1:4" ht="30" x14ac:dyDescent="0.25">
      <c r="A30" s="25" t="s">
        <v>1166</v>
      </c>
      <c r="B30" s="23" t="s">
        <v>1168</v>
      </c>
      <c r="C30" s="153" t="s">
        <v>375</v>
      </c>
      <c r="D30" s="23"/>
    </row>
    <row r="31" spans="1:4" x14ac:dyDescent="0.25">
      <c r="A31" s="282" t="s">
        <v>1402</v>
      </c>
      <c r="B31" s="23" t="s">
        <v>49</v>
      </c>
      <c r="C31" s="153">
        <f>STANDBY_DOMZERODEFGW</f>
        <v>0</v>
      </c>
      <c r="D31" s="23"/>
    </row>
    <row r="32" spans="1:4" x14ac:dyDescent="0.25">
      <c r="A32" s="282" t="s">
        <v>1400</v>
      </c>
      <c r="B32" s="23" t="s">
        <v>1410</v>
      </c>
      <c r="C32" s="153">
        <f>STANDBY_CDOMFQDN</f>
        <v>0</v>
      </c>
      <c r="D32" s="23" t="s">
        <v>1411</v>
      </c>
    </row>
    <row r="33" spans="1:4" x14ac:dyDescent="0.25">
      <c r="A33" s="282" t="s">
        <v>1401</v>
      </c>
      <c r="B33" s="23" t="s">
        <v>1404</v>
      </c>
      <c r="C33" s="153">
        <f>STANDBY_DOMZEROFQDN</f>
        <v>0</v>
      </c>
      <c r="D33" s="23" t="s">
        <v>1412</v>
      </c>
    </row>
    <row r="34" spans="1:4" ht="30" x14ac:dyDescent="0.25">
      <c r="A34" s="282" t="s">
        <v>1413</v>
      </c>
      <c r="B34" s="23" t="s">
        <v>1416</v>
      </c>
      <c r="C34" s="153">
        <f>STANDBY_DOMZEROIP</f>
        <v>0</v>
      </c>
      <c r="D34" s="23"/>
    </row>
    <row r="35" spans="1:4" ht="30" x14ac:dyDescent="0.25">
      <c r="A35" s="282" t="s">
        <v>1414</v>
      </c>
      <c r="B35" s="23" t="s">
        <v>1417</v>
      </c>
      <c r="C35" s="153">
        <f>STANDBY_DOMZERONETMASK</f>
        <v>0</v>
      </c>
      <c r="D35" s="23"/>
    </row>
    <row r="36" spans="1:4" ht="30.75" thickBot="1" x14ac:dyDescent="0.3">
      <c r="A36" s="297" t="s">
        <v>1415</v>
      </c>
      <c r="B36" s="298" t="s">
        <v>1418</v>
      </c>
      <c r="C36" s="299">
        <f>STANDBY_CDOMIP</f>
        <v>0</v>
      </c>
      <c r="D36" s="298"/>
    </row>
    <row r="37" spans="1:4" ht="15.75" thickTop="1" x14ac:dyDescent="0.25">
      <c r="A37" s="107" t="s">
        <v>1397</v>
      </c>
      <c r="B37" s="22"/>
      <c r="C37" s="90"/>
      <c r="D37" s="90"/>
    </row>
    <row r="38" spans="1:4" ht="45" x14ac:dyDescent="0.25">
      <c r="A38" s="17" t="s">
        <v>1192</v>
      </c>
      <c r="B38" s="12" t="s">
        <v>219</v>
      </c>
      <c r="C38" s="68" t="str">
        <f>CONCATENATE("http://",CDOMIP)</f>
        <v>http://</v>
      </c>
      <c r="D38" s="32" t="s">
        <v>123</v>
      </c>
    </row>
    <row r="39" spans="1:4" x14ac:dyDescent="0.25">
      <c r="A39" s="8" t="s">
        <v>377</v>
      </c>
      <c r="B39" s="197" t="s">
        <v>378</v>
      </c>
      <c r="C39" s="38" t="s">
        <v>41</v>
      </c>
      <c r="D39" s="17"/>
    </row>
    <row r="40" spans="1:4" x14ac:dyDescent="0.25">
      <c r="A40" s="8" t="s">
        <v>1193</v>
      </c>
      <c r="B40" s="197" t="s">
        <v>43</v>
      </c>
      <c r="C40" s="235">
        <f>ADMINPASS</f>
        <v>0</v>
      </c>
      <c r="D40" s="17"/>
    </row>
    <row r="41" spans="1:4" x14ac:dyDescent="0.25">
      <c r="A41" s="17" t="s">
        <v>1220</v>
      </c>
      <c r="B41" s="12" t="s">
        <v>1188</v>
      </c>
      <c r="C41" s="170" t="s">
        <v>375</v>
      </c>
      <c r="D41" s="17"/>
    </row>
    <row r="42" spans="1:4" x14ac:dyDescent="0.25">
      <c r="A42" s="17" t="s">
        <v>1189</v>
      </c>
      <c r="B42" s="12" t="s">
        <v>1190</v>
      </c>
      <c r="C42" s="12" t="s">
        <v>309</v>
      </c>
      <c r="D42" s="12"/>
    </row>
    <row r="43" spans="1:4" x14ac:dyDescent="0.25">
      <c r="A43" s="17" t="s">
        <v>1194</v>
      </c>
      <c r="B43" s="12" t="s">
        <v>1195</v>
      </c>
      <c r="C43" s="71">
        <f>STANDBY_CDOMIP</f>
        <v>0</v>
      </c>
      <c r="D43" s="17"/>
    </row>
    <row r="44" spans="1:4" x14ac:dyDescent="0.25">
      <c r="A44" s="17" t="s">
        <v>1197</v>
      </c>
      <c r="B44" s="12" t="s">
        <v>1196</v>
      </c>
      <c r="C44" s="12" t="s">
        <v>41</v>
      </c>
      <c r="D44" s="17"/>
    </row>
    <row r="45" spans="1:4" x14ac:dyDescent="0.25">
      <c r="A45" s="17" t="s">
        <v>1198</v>
      </c>
      <c r="B45" s="12" t="s">
        <v>1199</v>
      </c>
      <c r="C45" s="71">
        <f>STANDBY_ADMINPASS</f>
        <v>0</v>
      </c>
      <c r="D45" s="17"/>
    </row>
    <row r="46" spans="1:4" ht="90" x14ac:dyDescent="0.25">
      <c r="A46" s="17" t="s">
        <v>1200</v>
      </c>
      <c r="B46" s="12" t="s">
        <v>1201</v>
      </c>
      <c r="C46" s="12" t="s">
        <v>1202</v>
      </c>
      <c r="D46" s="17" t="s">
        <v>1203</v>
      </c>
    </row>
    <row r="47" spans="1:4" ht="75" x14ac:dyDescent="0.25">
      <c r="A47" s="17" t="s">
        <v>1204</v>
      </c>
      <c r="B47" s="12" t="s">
        <v>1205</v>
      </c>
      <c r="C47" s="12" t="s">
        <v>309</v>
      </c>
      <c r="D47" s="17" t="s">
        <v>1206</v>
      </c>
    </row>
    <row r="48" spans="1:4" ht="105" x14ac:dyDescent="0.25">
      <c r="A48" s="93" t="s">
        <v>1207</v>
      </c>
      <c r="B48" s="12" t="s">
        <v>1208</v>
      </c>
      <c r="C48" s="12" t="s">
        <v>309</v>
      </c>
      <c r="D48" s="86" t="s">
        <v>1221</v>
      </c>
    </row>
    <row r="49" spans="1:4" ht="60" x14ac:dyDescent="0.25">
      <c r="A49" s="93" t="s">
        <v>1209</v>
      </c>
      <c r="B49" s="12" t="s">
        <v>1210</v>
      </c>
      <c r="C49" s="12" t="s">
        <v>1211</v>
      </c>
      <c r="D49" s="86"/>
    </row>
  </sheetData>
  <sheetProtection sheet="1" objects="1" scenarios="1"/>
  <dataConsolidate/>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28"/>
  <sheetViews>
    <sheetView workbookViewId="0">
      <pane ySplit="1" topLeftCell="A2" activePane="bottomLeft" state="frozen"/>
      <selection activeCell="C89" sqref="C89"/>
      <selection pane="bottomLeft" activeCell="A26" sqref="A26"/>
    </sheetView>
  </sheetViews>
  <sheetFormatPr defaultRowHeight="15" x14ac:dyDescent="0.25"/>
  <cols>
    <col min="1" max="1" width="57.7109375" customWidth="1"/>
    <col min="2" max="2" width="30.85546875" style="1" customWidth="1"/>
    <col min="3" max="3" width="40.5703125" style="1" customWidth="1"/>
    <col min="4" max="4" width="36.5703125" style="1" customWidth="1"/>
  </cols>
  <sheetData>
    <row r="1" spans="1:4" ht="15.75" thickBot="1" x14ac:dyDescent="0.3">
      <c r="A1" s="42" t="s">
        <v>11</v>
      </c>
      <c r="B1" s="43" t="s">
        <v>3</v>
      </c>
      <c r="C1" s="43" t="s">
        <v>193</v>
      </c>
      <c r="D1" s="43" t="s">
        <v>122</v>
      </c>
    </row>
    <row r="2" spans="1:4" ht="75.75" thickTop="1" x14ac:dyDescent="0.25">
      <c r="A2" s="167" t="s">
        <v>990</v>
      </c>
      <c r="B2" s="166"/>
      <c r="C2" s="166"/>
      <c r="D2" s="166"/>
    </row>
    <row r="3" spans="1:4" x14ac:dyDescent="0.25">
      <c r="A3" s="305"/>
      <c r="B3" s="306"/>
      <c r="C3" s="306"/>
      <c r="D3" s="306"/>
    </row>
    <row r="4" spans="1:4" x14ac:dyDescent="0.25">
      <c r="A4" s="9" t="s">
        <v>525</v>
      </c>
      <c r="B4" s="6"/>
      <c r="C4" s="6"/>
      <c r="D4" s="197"/>
    </row>
    <row r="5" spans="1:4" ht="30" x14ac:dyDescent="0.25">
      <c r="A5" s="17" t="s">
        <v>840</v>
      </c>
      <c r="B5" s="11" t="s">
        <v>841</v>
      </c>
      <c r="C5" s="21" t="s">
        <v>361</v>
      </c>
      <c r="D5" s="12"/>
    </row>
    <row r="6" spans="1:4" x14ac:dyDescent="0.25">
      <c r="A6" s="13" t="s">
        <v>1464</v>
      </c>
      <c r="B6" s="6" t="s">
        <v>395</v>
      </c>
      <c r="C6" s="19" t="s">
        <v>396</v>
      </c>
      <c r="D6" s="6"/>
    </row>
    <row r="7" spans="1:4" ht="30" x14ac:dyDescent="0.25">
      <c r="A7" s="13" t="s">
        <v>563</v>
      </c>
      <c r="B7" s="11" t="s">
        <v>842</v>
      </c>
      <c r="C7" s="74" t="s">
        <v>845</v>
      </c>
      <c r="D7" s="12"/>
    </row>
    <row r="8" spans="1:4" x14ac:dyDescent="0.25">
      <c r="A8" s="5" t="s">
        <v>564</v>
      </c>
      <c r="B8" s="11" t="s">
        <v>349</v>
      </c>
      <c r="C8" s="21" t="s">
        <v>565</v>
      </c>
      <c r="D8" s="22"/>
    </row>
    <row r="9" spans="1:4" x14ac:dyDescent="0.25">
      <c r="A9" s="5"/>
      <c r="B9" s="11"/>
      <c r="C9" s="11"/>
      <c r="D9" s="12"/>
    </row>
    <row r="10" spans="1:4" x14ac:dyDescent="0.25">
      <c r="A10" s="9" t="s">
        <v>566</v>
      </c>
      <c r="B10" s="6"/>
      <c r="C10" s="6"/>
      <c r="D10" s="12"/>
    </row>
    <row r="11" spans="1:4" x14ac:dyDescent="0.25">
      <c r="A11" s="13" t="s">
        <v>505</v>
      </c>
      <c r="B11" s="11" t="s">
        <v>841</v>
      </c>
      <c r="C11" s="11" t="s">
        <v>361</v>
      </c>
      <c r="D11" s="12"/>
    </row>
    <row r="12" spans="1:4" x14ac:dyDescent="0.25">
      <c r="A12" s="5" t="s">
        <v>839</v>
      </c>
      <c r="B12" s="6" t="s">
        <v>843</v>
      </c>
      <c r="C12" s="164" t="s">
        <v>844</v>
      </c>
      <c r="D12" s="12"/>
    </row>
    <row r="13" spans="1:4" x14ac:dyDescent="0.25">
      <c r="A13" s="5" t="s">
        <v>567</v>
      </c>
      <c r="B13" s="11" t="s">
        <v>842</v>
      </c>
      <c r="C13" s="6" t="s">
        <v>846</v>
      </c>
      <c r="D13" s="12"/>
    </row>
    <row r="14" spans="1:4" x14ac:dyDescent="0.25">
      <c r="A14" s="5" t="s">
        <v>568</v>
      </c>
      <c r="B14" s="6" t="s">
        <v>848</v>
      </c>
      <c r="C14" s="6" t="s">
        <v>849</v>
      </c>
      <c r="D14" s="12"/>
    </row>
    <row r="15" spans="1:4" x14ac:dyDescent="0.25">
      <c r="A15" s="5" t="s">
        <v>569</v>
      </c>
      <c r="B15" s="6" t="s">
        <v>850</v>
      </c>
      <c r="C15" s="6" t="s">
        <v>851</v>
      </c>
      <c r="D15" s="12"/>
    </row>
    <row r="16" spans="1:4" x14ac:dyDescent="0.25">
      <c r="A16" s="5" t="s">
        <v>852</v>
      </c>
      <c r="B16" s="6" t="s">
        <v>853</v>
      </c>
      <c r="C16" s="6" t="s">
        <v>854</v>
      </c>
      <c r="D16" s="12"/>
    </row>
    <row r="17" spans="1:4" x14ac:dyDescent="0.25">
      <c r="A17" s="5" t="s">
        <v>570</v>
      </c>
      <c r="B17" s="6" t="s">
        <v>471</v>
      </c>
      <c r="C17" s="6" t="s">
        <v>855</v>
      </c>
      <c r="D17" s="12"/>
    </row>
    <row r="18" spans="1:4" ht="45" x14ac:dyDescent="0.25">
      <c r="A18" s="17" t="s">
        <v>847</v>
      </c>
      <c r="B18" s="11" t="s">
        <v>856</v>
      </c>
      <c r="C18" s="11" t="s">
        <v>857</v>
      </c>
      <c r="D18" s="12" t="s">
        <v>597</v>
      </c>
    </row>
    <row r="19" spans="1:4" ht="30" x14ac:dyDescent="0.25">
      <c r="A19" s="169" t="s">
        <v>571</v>
      </c>
      <c r="B19" s="11" t="s">
        <v>858</v>
      </c>
      <c r="C19" s="11" t="s">
        <v>859</v>
      </c>
      <c r="D19" s="12"/>
    </row>
    <row r="20" spans="1:4" x14ac:dyDescent="0.25">
      <c r="A20" s="5" t="s">
        <v>572</v>
      </c>
      <c r="B20" s="6" t="s">
        <v>274</v>
      </c>
      <c r="C20" s="6" t="s">
        <v>275</v>
      </c>
      <c r="D20" s="12"/>
    </row>
    <row r="21" spans="1:4" x14ac:dyDescent="0.25">
      <c r="A21" s="5" t="s">
        <v>573</v>
      </c>
      <c r="B21" s="6" t="s">
        <v>274</v>
      </c>
      <c r="C21" s="6" t="s">
        <v>275</v>
      </c>
      <c r="D21" s="12"/>
    </row>
    <row r="22" spans="1:4" x14ac:dyDescent="0.25">
      <c r="A22" s="5"/>
      <c r="B22" s="6"/>
      <c r="C22" s="6"/>
      <c r="D22" s="12"/>
    </row>
    <row r="23" spans="1:4" ht="180" x14ac:dyDescent="0.25">
      <c r="A23" s="107" t="s">
        <v>338</v>
      </c>
      <c r="B23" s="89"/>
      <c r="C23" s="233"/>
      <c r="D23" s="142" t="s">
        <v>574</v>
      </c>
    </row>
    <row r="24" spans="1:4" ht="45" x14ac:dyDescent="0.25">
      <c r="A24" s="17" t="s">
        <v>1533</v>
      </c>
      <c r="B24" s="11" t="s">
        <v>842</v>
      </c>
      <c r="C24" s="74" t="s">
        <v>860</v>
      </c>
      <c r="D24" s="12"/>
    </row>
    <row r="25" spans="1:4" ht="30" x14ac:dyDescent="0.25">
      <c r="A25" s="13" t="s">
        <v>340</v>
      </c>
      <c r="B25" s="12" t="s">
        <v>344</v>
      </c>
      <c r="C25" s="12" t="s">
        <v>307</v>
      </c>
      <c r="D25" s="13"/>
    </row>
    <row r="26" spans="1:4" ht="45" x14ac:dyDescent="0.25">
      <c r="A26" s="13" t="s">
        <v>341</v>
      </c>
      <c r="B26" s="12" t="s">
        <v>345</v>
      </c>
      <c r="C26" s="12" t="s">
        <v>346</v>
      </c>
      <c r="D26" s="13"/>
    </row>
    <row r="27" spans="1:4" x14ac:dyDescent="0.25">
      <c r="A27" s="13" t="s">
        <v>342</v>
      </c>
      <c r="B27" s="12" t="s">
        <v>347</v>
      </c>
      <c r="C27" s="12" t="s">
        <v>348</v>
      </c>
      <c r="D27" s="13"/>
    </row>
    <row r="28" spans="1:4" ht="30" x14ac:dyDescent="0.25">
      <c r="A28" s="13" t="s">
        <v>343</v>
      </c>
      <c r="B28" s="12" t="s">
        <v>349</v>
      </c>
      <c r="C28" s="12" t="s">
        <v>350</v>
      </c>
      <c r="D28" s="13"/>
    </row>
  </sheetData>
  <sheetProtection sheet="1" objects="1" scenarios="1"/>
  <dataConsolidate/>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68"/>
  <sheetViews>
    <sheetView workbookViewId="0">
      <pane ySplit="1" topLeftCell="A63" activePane="bottomLeft" state="frozen"/>
      <selection activeCell="C89" sqref="C89"/>
      <selection pane="bottomLeft" activeCell="A65" sqref="A65"/>
    </sheetView>
  </sheetViews>
  <sheetFormatPr defaultRowHeight="15" x14ac:dyDescent="0.25"/>
  <cols>
    <col min="1" max="1" width="57.7109375" customWidth="1"/>
    <col min="2" max="2" width="30.85546875" style="1" customWidth="1"/>
    <col min="3" max="3" width="40.5703125" style="1" customWidth="1"/>
    <col min="4" max="4" width="36.5703125" style="1" customWidth="1"/>
  </cols>
  <sheetData>
    <row r="1" spans="1:4" ht="15.75" thickBot="1" x14ac:dyDescent="0.3">
      <c r="A1" s="42" t="s">
        <v>11</v>
      </c>
      <c r="B1" s="43" t="s">
        <v>3</v>
      </c>
      <c r="C1" s="43" t="s">
        <v>193</v>
      </c>
      <c r="D1" s="43" t="s">
        <v>122</v>
      </c>
    </row>
    <row r="2" spans="1:4" ht="15.75" thickTop="1" x14ac:dyDescent="0.25">
      <c r="A2" s="15" t="s">
        <v>862</v>
      </c>
      <c r="B2" s="14"/>
      <c r="C2" s="14"/>
      <c r="D2" s="47"/>
    </row>
    <row r="3" spans="1:4" x14ac:dyDescent="0.25">
      <c r="A3" s="5" t="s">
        <v>226</v>
      </c>
      <c r="B3" s="6" t="s">
        <v>219</v>
      </c>
      <c r="C3" s="75" t="str">
        <f>CONCATENATE("https://",SMGRIP,"/SMGR")</f>
        <v>https:///SMGR</v>
      </c>
      <c r="D3" s="22"/>
    </row>
    <row r="4" spans="1:4" x14ac:dyDescent="0.25">
      <c r="A4" s="5" t="s">
        <v>237</v>
      </c>
      <c r="B4" s="6" t="s">
        <v>42</v>
      </c>
      <c r="C4" s="19" t="s">
        <v>376</v>
      </c>
      <c r="D4" s="12"/>
    </row>
    <row r="5" spans="1:4" x14ac:dyDescent="0.25">
      <c r="A5" s="5" t="s">
        <v>504</v>
      </c>
      <c r="B5" s="6" t="s">
        <v>134</v>
      </c>
      <c r="C5" s="19" t="s">
        <v>259</v>
      </c>
      <c r="D5" s="12"/>
    </row>
    <row r="6" spans="1:4" x14ac:dyDescent="0.25">
      <c r="A6" s="40" t="s">
        <v>629</v>
      </c>
      <c r="B6" s="41"/>
      <c r="C6" s="58"/>
      <c r="D6" s="59"/>
    </row>
    <row r="7" spans="1:4" x14ac:dyDescent="0.25">
      <c r="A7" s="40" t="s">
        <v>227</v>
      </c>
      <c r="B7" s="41" t="s">
        <v>44</v>
      </c>
      <c r="C7" s="58" t="s">
        <v>256</v>
      </c>
      <c r="D7" s="59"/>
    </row>
    <row r="8" spans="1:4" ht="15.75" thickBot="1" x14ac:dyDescent="0.3">
      <c r="A8" s="2"/>
      <c r="B8" s="3"/>
      <c r="C8" s="3"/>
      <c r="D8" s="57"/>
    </row>
    <row r="9" spans="1:4" ht="15.75" thickTop="1" x14ac:dyDescent="0.25">
      <c r="A9" s="15" t="s">
        <v>137</v>
      </c>
      <c r="B9" s="14"/>
      <c r="C9" s="56"/>
      <c r="D9" s="22"/>
    </row>
    <row r="10" spans="1:4" x14ac:dyDescent="0.25">
      <c r="A10" s="5" t="s">
        <v>228</v>
      </c>
      <c r="B10" s="6" t="s">
        <v>135</v>
      </c>
      <c r="C10" s="20" t="s">
        <v>319</v>
      </c>
      <c r="D10" s="12"/>
    </row>
    <row r="11" spans="1:4" x14ac:dyDescent="0.25">
      <c r="A11" s="40" t="s">
        <v>229</v>
      </c>
      <c r="B11" s="41" t="s">
        <v>136</v>
      </c>
      <c r="C11" s="108" t="s">
        <v>320</v>
      </c>
      <c r="D11" s="59"/>
    </row>
    <row r="12" spans="1:4" ht="15.75" thickBot="1" x14ac:dyDescent="0.3">
      <c r="A12" s="2"/>
      <c r="B12" s="3"/>
      <c r="C12" s="3"/>
      <c r="D12" s="57"/>
    </row>
    <row r="13" spans="1:4" ht="15.75" thickTop="1" x14ac:dyDescent="0.25">
      <c r="B13" s="14"/>
      <c r="C13" s="56"/>
      <c r="D13" s="22"/>
    </row>
    <row r="14" spans="1:4" ht="30" x14ac:dyDescent="0.25">
      <c r="A14" s="17" t="s">
        <v>630</v>
      </c>
      <c r="B14" s="12" t="s">
        <v>138</v>
      </c>
      <c r="C14" s="202" t="str">
        <f>CONCATENATE("5350001@",SIPDOMAIN)</f>
        <v>5350001@</v>
      </c>
      <c r="D14" s="12" t="s">
        <v>239</v>
      </c>
    </row>
    <row r="15" spans="1:4" x14ac:dyDescent="0.25">
      <c r="A15" s="5" t="s">
        <v>139</v>
      </c>
      <c r="B15" s="6" t="s">
        <v>140</v>
      </c>
      <c r="C15" s="19" t="s">
        <v>141</v>
      </c>
      <c r="D15" s="12"/>
    </row>
    <row r="16" spans="1:4" ht="45" x14ac:dyDescent="0.25">
      <c r="A16" s="162" t="s">
        <v>628</v>
      </c>
      <c r="B16" s="12" t="s">
        <v>43</v>
      </c>
      <c r="C16" s="163" t="s">
        <v>39</v>
      </c>
      <c r="D16" s="12" t="s">
        <v>405</v>
      </c>
    </row>
    <row r="17" spans="1:4" x14ac:dyDescent="0.25">
      <c r="A17" s="32" t="s">
        <v>631</v>
      </c>
      <c r="B17" s="29" t="s">
        <v>142</v>
      </c>
      <c r="C17" s="29" t="s">
        <v>39</v>
      </c>
      <c r="D17" s="35"/>
    </row>
    <row r="18" spans="1:4" x14ac:dyDescent="0.25">
      <c r="A18" s="32" t="s">
        <v>233</v>
      </c>
      <c r="B18" s="29" t="s">
        <v>144</v>
      </c>
      <c r="C18" s="29" t="s">
        <v>863</v>
      </c>
      <c r="D18" s="35"/>
    </row>
    <row r="19" spans="1:4" x14ac:dyDescent="0.25">
      <c r="A19" s="32" t="s">
        <v>234</v>
      </c>
      <c r="B19" s="29" t="s">
        <v>145</v>
      </c>
      <c r="C19" s="29" t="s">
        <v>863</v>
      </c>
      <c r="D19" s="35"/>
    </row>
    <row r="20" spans="1:4" ht="45" x14ac:dyDescent="0.25">
      <c r="A20" s="32" t="s">
        <v>146</v>
      </c>
      <c r="B20" s="29" t="s">
        <v>147</v>
      </c>
      <c r="C20" s="29" t="s">
        <v>148</v>
      </c>
      <c r="D20" s="29" t="s">
        <v>406</v>
      </c>
    </row>
    <row r="21" spans="1:4" x14ac:dyDescent="0.25">
      <c r="A21" s="60" t="s">
        <v>149</v>
      </c>
      <c r="B21" s="61" t="s">
        <v>150</v>
      </c>
      <c r="C21" s="75">
        <f>USERTIMEZONE</f>
        <v>0</v>
      </c>
      <c r="D21" s="12"/>
    </row>
    <row r="22" spans="1:4" ht="15.75" thickBot="1" x14ac:dyDescent="0.3">
      <c r="A22" s="53"/>
      <c r="B22" s="54"/>
      <c r="C22" s="54"/>
      <c r="D22" s="55"/>
    </row>
    <row r="23" spans="1:4" ht="15.75" thickTop="1" x14ac:dyDescent="0.25">
      <c r="A23" s="52" t="s">
        <v>151</v>
      </c>
      <c r="B23" s="31"/>
      <c r="C23" s="31"/>
      <c r="D23" s="49"/>
    </row>
    <row r="24" spans="1:4" x14ac:dyDescent="0.25">
      <c r="A24" s="32" t="s">
        <v>401</v>
      </c>
      <c r="B24" s="29" t="s">
        <v>402</v>
      </c>
      <c r="C24" s="29" t="s">
        <v>373</v>
      </c>
      <c r="D24" s="35"/>
    </row>
    <row r="25" spans="1:4" x14ac:dyDescent="0.25">
      <c r="A25" s="32" t="s">
        <v>403</v>
      </c>
      <c r="B25" s="29" t="s">
        <v>43</v>
      </c>
      <c r="C25" s="85">
        <v>5350001</v>
      </c>
      <c r="D25" s="35" t="s">
        <v>143</v>
      </c>
    </row>
    <row r="26" spans="1:4" x14ac:dyDescent="0.25">
      <c r="A26" s="32" t="s">
        <v>404</v>
      </c>
      <c r="B26" s="29" t="s">
        <v>142</v>
      </c>
      <c r="C26" s="85">
        <v>5350001</v>
      </c>
      <c r="D26" s="35" t="s">
        <v>143</v>
      </c>
    </row>
    <row r="27" spans="1:4" ht="30" x14ac:dyDescent="0.25">
      <c r="A27" s="32" t="s">
        <v>152</v>
      </c>
      <c r="B27" s="29" t="s">
        <v>44</v>
      </c>
      <c r="C27" s="29" t="s">
        <v>256</v>
      </c>
      <c r="D27" s="29" t="s">
        <v>632</v>
      </c>
    </row>
    <row r="28" spans="1:4" x14ac:dyDescent="0.25">
      <c r="A28" s="32" t="s">
        <v>153</v>
      </c>
      <c r="B28" s="29" t="s">
        <v>118</v>
      </c>
      <c r="C28" s="29" t="s">
        <v>154</v>
      </c>
      <c r="D28" s="35"/>
    </row>
    <row r="29" spans="1:4" x14ac:dyDescent="0.25">
      <c r="A29" s="32" t="s">
        <v>235</v>
      </c>
      <c r="B29" s="29" t="s">
        <v>155</v>
      </c>
      <c r="C29" s="29" t="s">
        <v>297</v>
      </c>
      <c r="D29" s="35"/>
    </row>
    <row r="30" spans="1:4" x14ac:dyDescent="0.25">
      <c r="A30" s="34" t="s">
        <v>156</v>
      </c>
      <c r="B30" s="35" t="s">
        <v>157</v>
      </c>
      <c r="C30" s="71">
        <f>SIPDOMAIN</f>
        <v>0</v>
      </c>
      <c r="D30" s="35"/>
    </row>
    <row r="31" spans="1:4" x14ac:dyDescent="0.25">
      <c r="A31" s="63" t="s">
        <v>158</v>
      </c>
      <c r="B31" s="62" t="s">
        <v>91</v>
      </c>
      <c r="C31" s="62" t="s">
        <v>260</v>
      </c>
      <c r="D31" s="62"/>
    </row>
    <row r="32" spans="1:4" x14ac:dyDescent="0.25">
      <c r="A32" s="64"/>
      <c r="B32" s="49"/>
      <c r="C32" s="49"/>
      <c r="D32" s="49"/>
    </row>
    <row r="33" spans="1:4" ht="30" x14ac:dyDescent="0.25">
      <c r="A33" s="64" t="s">
        <v>242</v>
      </c>
      <c r="B33" s="49" t="s">
        <v>261</v>
      </c>
      <c r="C33" s="49" t="s">
        <v>262</v>
      </c>
      <c r="D33" s="49"/>
    </row>
    <row r="34" spans="1:4" x14ac:dyDescent="0.25">
      <c r="A34" s="34" t="s">
        <v>159</v>
      </c>
      <c r="B34" s="35" t="s">
        <v>160</v>
      </c>
      <c r="C34" s="226">
        <f>SMHOSTNAME</f>
        <v>0</v>
      </c>
      <c r="D34" s="35"/>
    </row>
    <row r="35" spans="1:4" ht="30" x14ac:dyDescent="0.25">
      <c r="A35" s="32" t="s">
        <v>173</v>
      </c>
      <c r="B35" s="29" t="s">
        <v>171</v>
      </c>
      <c r="C35" s="230">
        <f>CMHOSTNAME</f>
        <v>0</v>
      </c>
      <c r="D35" s="35"/>
    </row>
    <row r="36" spans="1:4" ht="30" x14ac:dyDescent="0.25">
      <c r="A36" s="32" t="s">
        <v>174</v>
      </c>
      <c r="B36" s="29" t="s">
        <v>172</v>
      </c>
      <c r="C36" s="230">
        <f>CMHOSTNAME</f>
        <v>0</v>
      </c>
      <c r="D36" s="35"/>
    </row>
    <row r="37" spans="1:4" x14ac:dyDescent="0.25">
      <c r="A37" s="63" t="s">
        <v>161</v>
      </c>
      <c r="B37" s="62" t="s">
        <v>162</v>
      </c>
      <c r="C37" s="75">
        <f>LOCATIONNAME</f>
        <v>0</v>
      </c>
      <c r="D37" s="12">
        <f>COUNTRY</f>
        <v>0</v>
      </c>
    </row>
    <row r="38" spans="1:4" ht="15.75" thickBot="1" x14ac:dyDescent="0.3">
      <c r="A38" s="50"/>
      <c r="B38" s="51"/>
      <c r="C38" s="51"/>
      <c r="D38" s="51"/>
    </row>
    <row r="39" spans="1:4" ht="15.75" thickTop="1" x14ac:dyDescent="0.25">
      <c r="A39" s="48" t="s">
        <v>243</v>
      </c>
      <c r="B39" s="49" t="s">
        <v>263</v>
      </c>
      <c r="C39" s="49" t="s">
        <v>264</v>
      </c>
      <c r="D39" s="49"/>
    </row>
    <row r="40" spans="1:4" x14ac:dyDescent="0.25">
      <c r="A40" s="32" t="s">
        <v>633</v>
      </c>
      <c r="B40" s="35" t="s">
        <v>163</v>
      </c>
      <c r="C40" s="35" t="s">
        <v>390</v>
      </c>
      <c r="D40" s="87"/>
    </row>
    <row r="41" spans="1:4" x14ac:dyDescent="0.25">
      <c r="A41" s="34" t="s">
        <v>407</v>
      </c>
      <c r="B41" s="35" t="s">
        <v>409</v>
      </c>
      <c r="C41" s="35" t="s">
        <v>408</v>
      </c>
      <c r="D41" s="35"/>
    </row>
    <row r="42" spans="1:4" x14ac:dyDescent="0.25">
      <c r="A42" s="34" t="s">
        <v>236</v>
      </c>
      <c r="B42" s="35" t="s">
        <v>164</v>
      </c>
      <c r="C42" s="155">
        <v>5350001</v>
      </c>
      <c r="D42" s="35"/>
    </row>
    <row r="43" spans="1:4" x14ac:dyDescent="0.25">
      <c r="A43" s="34" t="s">
        <v>410</v>
      </c>
      <c r="B43" s="35" t="s">
        <v>166</v>
      </c>
      <c r="C43" s="35" t="s">
        <v>167</v>
      </c>
      <c r="D43" s="35"/>
    </row>
    <row r="44" spans="1:4" x14ac:dyDescent="0.25">
      <c r="A44" s="34" t="s">
        <v>168</v>
      </c>
      <c r="B44" s="35" t="s">
        <v>47</v>
      </c>
      <c r="C44" s="35" t="s">
        <v>169</v>
      </c>
      <c r="D44" s="35"/>
    </row>
    <row r="45" spans="1:4" x14ac:dyDescent="0.25">
      <c r="A45" s="34" t="s">
        <v>265</v>
      </c>
      <c r="B45" s="35" t="s">
        <v>266</v>
      </c>
      <c r="C45" s="35" t="s">
        <v>267</v>
      </c>
      <c r="D45" s="35"/>
    </row>
    <row r="46" spans="1:4" ht="60" x14ac:dyDescent="0.25">
      <c r="A46" s="88" t="s">
        <v>270</v>
      </c>
      <c r="B46" s="85" t="s">
        <v>269</v>
      </c>
      <c r="C46" s="85">
        <v>3</v>
      </c>
      <c r="D46" s="88" t="s">
        <v>268</v>
      </c>
    </row>
    <row r="47" spans="1:4" ht="30" x14ac:dyDescent="0.25">
      <c r="A47" s="88" t="s">
        <v>411</v>
      </c>
      <c r="B47" s="85" t="s">
        <v>271</v>
      </c>
      <c r="C47" s="85" t="s">
        <v>272</v>
      </c>
      <c r="D47" s="88" t="s">
        <v>864</v>
      </c>
    </row>
    <row r="48" spans="1:4" x14ac:dyDescent="0.25">
      <c r="A48" s="88" t="s">
        <v>412</v>
      </c>
      <c r="B48" s="85" t="s">
        <v>413</v>
      </c>
      <c r="C48" s="85" t="s">
        <v>414</v>
      </c>
      <c r="D48" s="88"/>
    </row>
    <row r="49" spans="1:4" ht="120" x14ac:dyDescent="0.25">
      <c r="A49" s="88" t="s">
        <v>865</v>
      </c>
      <c r="B49" s="85" t="s">
        <v>415</v>
      </c>
      <c r="C49" s="85" t="s">
        <v>866</v>
      </c>
      <c r="D49" s="88"/>
    </row>
    <row r="50" spans="1:4" ht="45" x14ac:dyDescent="0.25">
      <c r="A50" s="88" t="s">
        <v>273</v>
      </c>
      <c r="B50" s="85" t="s">
        <v>274</v>
      </c>
      <c r="C50" s="85" t="s">
        <v>275</v>
      </c>
      <c r="D50" s="88" t="s">
        <v>276</v>
      </c>
    </row>
    <row r="51" spans="1:4" ht="30" x14ac:dyDescent="0.25">
      <c r="A51" s="60" t="s">
        <v>246</v>
      </c>
      <c r="B51" s="62" t="s">
        <v>244</v>
      </c>
      <c r="C51" s="62" t="s">
        <v>245</v>
      </c>
      <c r="D51" s="62" t="s">
        <v>247</v>
      </c>
    </row>
    <row r="52" spans="1:4" x14ac:dyDescent="0.25">
      <c r="A52" s="63" t="s">
        <v>170</v>
      </c>
      <c r="B52" s="62" t="s">
        <v>117</v>
      </c>
      <c r="C52" s="62" t="s">
        <v>277</v>
      </c>
      <c r="D52" s="62"/>
    </row>
    <row r="53" spans="1:4" ht="45" x14ac:dyDescent="0.25">
      <c r="A53" s="156" t="s">
        <v>592</v>
      </c>
      <c r="B53" s="41" t="s">
        <v>416</v>
      </c>
      <c r="C53" s="41" t="s">
        <v>417</v>
      </c>
      <c r="D53" s="41"/>
    </row>
    <row r="54" spans="1:4" ht="60" x14ac:dyDescent="0.25">
      <c r="A54" s="13" t="s">
        <v>418</v>
      </c>
      <c r="B54" s="11" t="s">
        <v>419</v>
      </c>
      <c r="C54" s="11" t="s">
        <v>420</v>
      </c>
      <c r="D54" s="86" t="s">
        <v>490</v>
      </c>
    </row>
    <row r="55" spans="1:4" x14ac:dyDescent="0.25">
      <c r="A55" s="17" t="s">
        <v>325</v>
      </c>
      <c r="B55" s="12" t="s">
        <v>400</v>
      </c>
      <c r="C55" s="12" t="s">
        <v>309</v>
      </c>
      <c r="D55" s="17"/>
    </row>
    <row r="56" spans="1:4" x14ac:dyDescent="0.25">
      <c r="A56" s="17" t="s">
        <v>421</v>
      </c>
      <c r="B56" s="12" t="s">
        <v>422</v>
      </c>
      <c r="C56" s="12" t="s">
        <v>373</v>
      </c>
      <c r="D56" s="17"/>
    </row>
    <row r="57" spans="1:4" ht="30" x14ac:dyDescent="0.25">
      <c r="A57" s="17" t="s">
        <v>423</v>
      </c>
      <c r="B57" s="12" t="s">
        <v>424</v>
      </c>
      <c r="C57" s="12" t="s">
        <v>425</v>
      </c>
      <c r="D57" s="17"/>
    </row>
    <row r="58" spans="1:4" x14ac:dyDescent="0.25">
      <c r="A58" s="17" t="s">
        <v>426</v>
      </c>
      <c r="B58" s="12" t="s">
        <v>266</v>
      </c>
      <c r="C58" s="12" t="s">
        <v>309</v>
      </c>
      <c r="D58" s="17"/>
    </row>
    <row r="59" spans="1:4" x14ac:dyDescent="0.25">
      <c r="A59" s="17" t="s">
        <v>427</v>
      </c>
      <c r="B59" s="12" t="s">
        <v>428</v>
      </c>
      <c r="C59" s="12" t="s">
        <v>375</v>
      </c>
      <c r="D59" s="17"/>
    </row>
    <row r="60" spans="1:4" ht="105" x14ac:dyDescent="0.25">
      <c r="A60" s="17" t="s">
        <v>429</v>
      </c>
      <c r="B60" s="12" t="s">
        <v>430</v>
      </c>
      <c r="C60" s="12" t="s">
        <v>431</v>
      </c>
      <c r="D60" s="17" t="s">
        <v>432</v>
      </c>
    </row>
    <row r="61" spans="1:4" x14ac:dyDescent="0.25">
      <c r="A61" s="17" t="s">
        <v>433</v>
      </c>
      <c r="B61" s="12" t="s">
        <v>326</v>
      </c>
      <c r="C61" s="12" t="s">
        <v>309</v>
      </c>
      <c r="D61" s="17"/>
    </row>
    <row r="62" spans="1:4" x14ac:dyDescent="0.25">
      <c r="A62" s="17"/>
      <c r="B62" s="12"/>
      <c r="C62" s="12"/>
      <c r="D62" s="17"/>
    </row>
    <row r="63" spans="1:4" ht="180" x14ac:dyDescent="0.25">
      <c r="A63" s="107" t="s">
        <v>338</v>
      </c>
      <c r="B63" s="14"/>
      <c r="C63" s="56"/>
      <c r="D63" s="142" t="s">
        <v>574</v>
      </c>
    </row>
    <row r="64" spans="1:4" ht="30" x14ac:dyDescent="0.25">
      <c r="A64" s="17" t="s">
        <v>1672</v>
      </c>
      <c r="B64" s="12"/>
      <c r="C64" s="78"/>
      <c r="D64" s="12"/>
    </row>
    <row r="65" spans="1:4" ht="30" x14ac:dyDescent="0.25">
      <c r="A65" s="13" t="s">
        <v>340</v>
      </c>
      <c r="B65" s="12" t="s">
        <v>344</v>
      </c>
      <c r="C65" s="12" t="s">
        <v>307</v>
      </c>
      <c r="D65" s="13"/>
    </row>
    <row r="66" spans="1:4" ht="45" x14ac:dyDescent="0.25">
      <c r="A66" s="13" t="s">
        <v>341</v>
      </c>
      <c r="B66" s="12" t="s">
        <v>345</v>
      </c>
      <c r="C66" s="12" t="s">
        <v>346</v>
      </c>
      <c r="D66" s="13"/>
    </row>
    <row r="67" spans="1:4" x14ac:dyDescent="0.25">
      <c r="A67" s="13" t="s">
        <v>342</v>
      </c>
      <c r="B67" s="12" t="s">
        <v>347</v>
      </c>
      <c r="C67" s="12" t="s">
        <v>348</v>
      </c>
      <c r="D67" s="13"/>
    </row>
    <row r="68" spans="1:4" ht="30" x14ac:dyDescent="0.25">
      <c r="A68" s="13" t="s">
        <v>343</v>
      </c>
      <c r="B68" s="12" t="s">
        <v>349</v>
      </c>
      <c r="C68" s="12" t="s">
        <v>350</v>
      </c>
      <c r="D68" s="13"/>
    </row>
  </sheetData>
  <sheetProtection sheet="1" objects="1" scenarios="1"/>
  <dataConsolidate/>
  <pageMargins left="0.7" right="0.7" top="0.75" bottom="0.75" header="0.3" footer="0.3"/>
  <pageSetup orientation="portrait" r:id="rId1"/>
  <ignoredErrors>
    <ignoredError sqref="C29"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76"/>
  <sheetViews>
    <sheetView workbookViewId="0">
      <pane ySplit="1" topLeftCell="A53" activePane="bottomLeft" state="frozen"/>
      <selection activeCell="C89" sqref="C89"/>
      <selection pane="bottomLeft" activeCell="A56" sqref="A56"/>
    </sheetView>
  </sheetViews>
  <sheetFormatPr defaultRowHeight="15" x14ac:dyDescent="0.25"/>
  <cols>
    <col min="1" max="1" width="57.7109375" customWidth="1"/>
    <col min="2" max="2" width="30.85546875" style="1" customWidth="1"/>
    <col min="3" max="3" width="40.5703125" style="1" customWidth="1"/>
    <col min="4" max="4" width="36.5703125" style="1" customWidth="1"/>
  </cols>
  <sheetData>
    <row r="1" spans="1:4" ht="15.75" thickBot="1" x14ac:dyDescent="0.3">
      <c r="A1" s="42" t="s">
        <v>11</v>
      </c>
      <c r="B1" s="43" t="s">
        <v>3</v>
      </c>
      <c r="C1" s="43" t="s">
        <v>193</v>
      </c>
      <c r="D1" s="43" t="s">
        <v>122</v>
      </c>
    </row>
    <row r="2" spans="1:4" ht="15.75" thickTop="1" x14ac:dyDescent="0.25">
      <c r="A2" s="15" t="s">
        <v>861</v>
      </c>
      <c r="B2" s="14"/>
      <c r="C2" s="14"/>
      <c r="D2" s="47"/>
    </row>
    <row r="3" spans="1:4" x14ac:dyDescent="0.25">
      <c r="A3" s="5" t="s">
        <v>226</v>
      </c>
      <c r="B3" s="6" t="s">
        <v>219</v>
      </c>
      <c r="C3" s="75" t="str">
        <f>CONCATENATE("https://",SMGRIP,"/SMGR")</f>
        <v>https:///SMGR</v>
      </c>
      <c r="D3" s="22"/>
    </row>
    <row r="4" spans="1:4" x14ac:dyDescent="0.25">
      <c r="A4" s="5" t="s">
        <v>237</v>
      </c>
      <c r="B4" s="6" t="s">
        <v>42</v>
      </c>
      <c r="C4" s="19" t="s">
        <v>376</v>
      </c>
      <c r="D4" s="12"/>
    </row>
    <row r="5" spans="1:4" x14ac:dyDescent="0.25">
      <c r="A5" s="5" t="s">
        <v>238</v>
      </c>
      <c r="B5" s="6" t="s">
        <v>134</v>
      </c>
      <c r="C5" s="19" t="s">
        <v>259</v>
      </c>
      <c r="D5" s="12"/>
    </row>
    <row r="6" spans="1:4" x14ac:dyDescent="0.25">
      <c r="A6" s="40" t="s">
        <v>227</v>
      </c>
      <c r="B6" s="41" t="s">
        <v>44</v>
      </c>
      <c r="C6" s="58" t="s">
        <v>256</v>
      </c>
      <c r="D6" s="59"/>
    </row>
    <row r="7" spans="1:4" ht="15.75" thickBot="1" x14ac:dyDescent="0.3">
      <c r="A7" s="2"/>
      <c r="B7" s="3"/>
      <c r="C7" s="3"/>
      <c r="D7" s="57"/>
    </row>
    <row r="8" spans="1:4" ht="16.5" thickTop="1" thickBot="1" x14ac:dyDescent="0.3">
      <c r="A8" s="2"/>
      <c r="B8" s="3"/>
      <c r="C8" s="3"/>
      <c r="D8" s="57"/>
    </row>
    <row r="9" spans="1:4" ht="15.75" thickTop="1" x14ac:dyDescent="0.25">
      <c r="A9" s="15" t="s">
        <v>137</v>
      </c>
      <c r="B9" s="14"/>
      <c r="C9" s="56"/>
      <c r="D9" s="22"/>
    </row>
    <row r="10" spans="1:4" x14ac:dyDescent="0.25">
      <c r="A10" s="5" t="s">
        <v>228</v>
      </c>
      <c r="B10" s="6" t="s">
        <v>135</v>
      </c>
      <c r="C10" s="20" t="s">
        <v>319</v>
      </c>
      <c r="D10" s="12"/>
    </row>
    <row r="11" spans="1:4" x14ac:dyDescent="0.25">
      <c r="A11" s="40" t="s">
        <v>229</v>
      </c>
      <c r="B11" s="41" t="s">
        <v>136</v>
      </c>
      <c r="C11" s="108" t="s">
        <v>320</v>
      </c>
      <c r="D11" s="59"/>
    </row>
    <row r="12" spans="1:4" ht="30" x14ac:dyDescent="0.25">
      <c r="A12" s="17" t="s">
        <v>230</v>
      </c>
      <c r="B12" s="12" t="s">
        <v>138</v>
      </c>
      <c r="C12" s="202" t="str">
        <f>CONCATENATE("5350004@",SIPDOMAIN)</f>
        <v>5350004@</v>
      </c>
      <c r="D12" s="12" t="s">
        <v>239</v>
      </c>
    </row>
    <row r="13" spans="1:4" x14ac:dyDescent="0.25">
      <c r="A13" s="5" t="s">
        <v>139</v>
      </c>
      <c r="B13" s="6" t="s">
        <v>140</v>
      </c>
      <c r="C13" s="19" t="s">
        <v>141</v>
      </c>
      <c r="D13" s="12"/>
    </row>
    <row r="14" spans="1:4" ht="45" x14ac:dyDescent="0.25">
      <c r="A14" s="162" t="s">
        <v>231</v>
      </c>
      <c r="B14" s="12" t="s">
        <v>43</v>
      </c>
      <c r="C14" s="163" t="s">
        <v>39</v>
      </c>
      <c r="D14" s="12" t="s">
        <v>405</v>
      </c>
    </row>
    <row r="15" spans="1:4" x14ac:dyDescent="0.25">
      <c r="A15" s="32" t="s">
        <v>232</v>
      </c>
      <c r="B15" s="29" t="s">
        <v>142</v>
      </c>
      <c r="C15" s="29" t="s">
        <v>39</v>
      </c>
      <c r="D15" s="35"/>
    </row>
    <row r="16" spans="1:4" ht="30" x14ac:dyDescent="0.25">
      <c r="A16" s="32" t="s">
        <v>233</v>
      </c>
      <c r="B16" s="29" t="s">
        <v>144</v>
      </c>
      <c r="C16" s="29" t="s">
        <v>869</v>
      </c>
      <c r="D16" s="29" t="s">
        <v>870</v>
      </c>
    </row>
    <row r="17" spans="1:4" ht="30" x14ac:dyDescent="0.25">
      <c r="A17" s="32" t="s">
        <v>234</v>
      </c>
      <c r="B17" s="29" t="s">
        <v>145</v>
      </c>
      <c r="C17" s="29" t="s">
        <v>869</v>
      </c>
      <c r="D17" s="29" t="s">
        <v>870</v>
      </c>
    </row>
    <row r="18" spans="1:4" ht="45" x14ac:dyDescent="0.25">
      <c r="A18" s="32" t="s">
        <v>146</v>
      </c>
      <c r="B18" s="29" t="s">
        <v>147</v>
      </c>
      <c r="C18" s="29" t="s">
        <v>148</v>
      </c>
      <c r="D18" s="29" t="s">
        <v>406</v>
      </c>
    </row>
    <row r="19" spans="1:4" x14ac:dyDescent="0.25">
      <c r="A19" s="60" t="s">
        <v>149</v>
      </c>
      <c r="B19" s="61" t="s">
        <v>150</v>
      </c>
      <c r="C19" s="75">
        <f>USERTIMEZONE</f>
        <v>0</v>
      </c>
      <c r="D19" s="12"/>
    </row>
    <row r="20" spans="1:4" ht="15.75" thickBot="1" x14ac:dyDescent="0.3">
      <c r="A20" s="53"/>
      <c r="B20" s="54"/>
      <c r="C20" s="54"/>
      <c r="D20" s="55"/>
    </row>
    <row r="21" spans="1:4" ht="15.75" thickTop="1" x14ac:dyDescent="0.25">
      <c r="A21" s="52" t="s">
        <v>151</v>
      </c>
      <c r="B21" s="31"/>
      <c r="C21" s="31"/>
      <c r="D21" s="49"/>
    </row>
    <row r="22" spans="1:4" x14ac:dyDescent="0.25">
      <c r="A22" s="32" t="s">
        <v>401</v>
      </c>
      <c r="B22" s="29" t="s">
        <v>402</v>
      </c>
      <c r="C22" s="29" t="s">
        <v>373</v>
      </c>
      <c r="D22" s="35"/>
    </row>
    <row r="23" spans="1:4" x14ac:dyDescent="0.25">
      <c r="A23" s="32" t="s">
        <v>403</v>
      </c>
      <c r="B23" s="29" t="s">
        <v>43</v>
      </c>
      <c r="C23" s="85">
        <v>5350004</v>
      </c>
      <c r="D23" s="35" t="s">
        <v>143</v>
      </c>
    </row>
    <row r="24" spans="1:4" x14ac:dyDescent="0.25">
      <c r="A24" s="32" t="s">
        <v>404</v>
      </c>
      <c r="B24" s="29" t="s">
        <v>142</v>
      </c>
      <c r="C24" s="85">
        <v>5350004</v>
      </c>
      <c r="D24" s="35" t="s">
        <v>143</v>
      </c>
    </row>
    <row r="25" spans="1:4" x14ac:dyDescent="0.25">
      <c r="A25" s="32" t="s">
        <v>152</v>
      </c>
      <c r="B25" s="29" t="s">
        <v>44</v>
      </c>
      <c r="C25" s="29" t="s">
        <v>256</v>
      </c>
      <c r="D25" s="35"/>
    </row>
    <row r="26" spans="1:4" x14ac:dyDescent="0.25">
      <c r="A26" s="32" t="s">
        <v>153</v>
      </c>
      <c r="B26" s="29" t="s">
        <v>118</v>
      </c>
      <c r="C26" s="29" t="s">
        <v>154</v>
      </c>
      <c r="D26" s="35"/>
    </row>
    <row r="27" spans="1:4" x14ac:dyDescent="0.25">
      <c r="A27" s="32" t="s">
        <v>235</v>
      </c>
      <c r="B27" s="29" t="s">
        <v>155</v>
      </c>
      <c r="C27" s="29" t="s">
        <v>327</v>
      </c>
      <c r="D27" s="35"/>
    </row>
    <row r="28" spans="1:4" x14ac:dyDescent="0.25">
      <c r="A28" s="34" t="s">
        <v>156</v>
      </c>
      <c r="B28" s="35" t="s">
        <v>157</v>
      </c>
      <c r="C28" s="71">
        <f>SIPDOMAIN</f>
        <v>0</v>
      </c>
      <c r="D28" s="35"/>
    </row>
    <row r="29" spans="1:4" x14ac:dyDescent="0.25">
      <c r="A29" s="63" t="s">
        <v>158</v>
      </c>
      <c r="B29" s="62" t="s">
        <v>91</v>
      </c>
      <c r="C29" s="62" t="s">
        <v>260</v>
      </c>
      <c r="D29" s="62"/>
    </row>
    <row r="30" spans="1:4" x14ac:dyDescent="0.25">
      <c r="A30" s="32"/>
      <c r="B30" s="35"/>
      <c r="C30" s="35"/>
      <c r="D30" s="35"/>
    </row>
    <row r="31" spans="1:4" ht="30" x14ac:dyDescent="0.25">
      <c r="A31" s="64" t="s">
        <v>242</v>
      </c>
      <c r="B31" s="49" t="s">
        <v>261</v>
      </c>
      <c r="C31" s="49" t="s">
        <v>262</v>
      </c>
      <c r="D31" s="49"/>
    </row>
    <row r="32" spans="1:4" x14ac:dyDescent="0.25">
      <c r="A32" s="34" t="s">
        <v>159</v>
      </c>
      <c r="B32" s="35" t="s">
        <v>160</v>
      </c>
      <c r="C32" s="226">
        <f>SMHOSTNAME</f>
        <v>0</v>
      </c>
      <c r="D32" s="35"/>
    </row>
    <row r="33" spans="1:4" ht="30" x14ac:dyDescent="0.25">
      <c r="A33" s="32" t="s">
        <v>173</v>
      </c>
      <c r="B33" s="29" t="s">
        <v>171</v>
      </c>
      <c r="C33" s="230">
        <f>CMHOSTNAME</f>
        <v>0</v>
      </c>
      <c r="D33" s="35"/>
    </row>
    <row r="34" spans="1:4" ht="30" x14ac:dyDescent="0.25">
      <c r="A34" s="32" t="s">
        <v>174</v>
      </c>
      <c r="B34" s="29" t="s">
        <v>172</v>
      </c>
      <c r="C34" s="230">
        <f>CMHOSTNAME</f>
        <v>0</v>
      </c>
      <c r="D34" s="35"/>
    </row>
    <row r="35" spans="1:4" x14ac:dyDescent="0.25">
      <c r="A35" s="63" t="s">
        <v>161</v>
      </c>
      <c r="B35" s="62" t="s">
        <v>162</v>
      </c>
      <c r="C35" s="75">
        <f>LOCATIONNAME</f>
        <v>0</v>
      </c>
      <c r="D35" s="12"/>
    </row>
    <row r="36" spans="1:4" ht="15.75" thickBot="1" x14ac:dyDescent="0.3">
      <c r="A36" s="50"/>
      <c r="B36" s="51"/>
      <c r="C36" s="51"/>
      <c r="D36" s="51"/>
    </row>
    <row r="37" spans="1:4" ht="15.75" thickTop="1" x14ac:dyDescent="0.25">
      <c r="A37" s="48" t="s">
        <v>243</v>
      </c>
      <c r="B37" s="49" t="s">
        <v>263</v>
      </c>
      <c r="C37" s="49" t="s">
        <v>264</v>
      </c>
      <c r="D37" s="49"/>
    </row>
    <row r="38" spans="1:4" x14ac:dyDescent="0.25">
      <c r="A38" s="32" t="s">
        <v>633</v>
      </c>
      <c r="B38" s="35" t="s">
        <v>163</v>
      </c>
      <c r="C38" s="35" t="s">
        <v>116</v>
      </c>
      <c r="D38" s="87"/>
    </row>
    <row r="39" spans="1:4" x14ac:dyDescent="0.25">
      <c r="A39" s="34" t="s">
        <v>407</v>
      </c>
      <c r="B39" s="35" t="s">
        <v>409</v>
      </c>
      <c r="C39" s="35" t="s">
        <v>408</v>
      </c>
      <c r="D39" s="35"/>
    </row>
    <row r="40" spans="1:4" x14ac:dyDescent="0.25">
      <c r="A40" s="34" t="s">
        <v>236</v>
      </c>
      <c r="B40" s="35" t="s">
        <v>164</v>
      </c>
      <c r="C40" s="35" t="s">
        <v>327</v>
      </c>
      <c r="D40" s="35"/>
    </row>
    <row r="41" spans="1:4" x14ac:dyDescent="0.25">
      <c r="A41" s="34" t="s">
        <v>165</v>
      </c>
      <c r="B41" s="35" t="s">
        <v>166</v>
      </c>
      <c r="C41" s="35" t="s">
        <v>328</v>
      </c>
      <c r="D41" s="35"/>
    </row>
    <row r="42" spans="1:4" x14ac:dyDescent="0.25">
      <c r="A42" s="34" t="s">
        <v>168</v>
      </c>
      <c r="B42" s="35" t="s">
        <v>47</v>
      </c>
      <c r="C42" s="35" t="s">
        <v>169</v>
      </c>
      <c r="D42" s="35"/>
    </row>
    <row r="43" spans="1:4" x14ac:dyDescent="0.25">
      <c r="A43" s="34" t="s">
        <v>265</v>
      </c>
      <c r="B43" s="35" t="s">
        <v>266</v>
      </c>
      <c r="C43" s="35" t="s">
        <v>267</v>
      </c>
      <c r="D43" s="35"/>
    </row>
    <row r="44" spans="1:4" ht="60" x14ac:dyDescent="0.25">
      <c r="A44" s="88" t="s">
        <v>270</v>
      </c>
      <c r="B44" s="85" t="s">
        <v>269</v>
      </c>
      <c r="C44" s="85">
        <v>3</v>
      </c>
      <c r="D44" s="88" t="s">
        <v>268</v>
      </c>
    </row>
    <row r="45" spans="1:4" ht="30" x14ac:dyDescent="0.25">
      <c r="A45" s="88" t="s">
        <v>329</v>
      </c>
      <c r="B45" s="85" t="s">
        <v>330</v>
      </c>
      <c r="C45" s="85" t="s">
        <v>331</v>
      </c>
      <c r="D45" s="88"/>
    </row>
    <row r="46" spans="1:4" ht="30" x14ac:dyDescent="0.25">
      <c r="A46" s="88" t="s">
        <v>332</v>
      </c>
      <c r="B46" s="85" t="s">
        <v>333</v>
      </c>
      <c r="C46" s="85" t="s">
        <v>334</v>
      </c>
      <c r="D46" s="88"/>
    </row>
    <row r="47" spans="1:4" x14ac:dyDescent="0.25">
      <c r="A47" s="88" t="s">
        <v>412</v>
      </c>
      <c r="B47" s="85" t="s">
        <v>413</v>
      </c>
      <c r="C47" s="85" t="s">
        <v>414</v>
      </c>
      <c r="D47" s="88"/>
    </row>
    <row r="48" spans="1:4" ht="45" x14ac:dyDescent="0.25">
      <c r="A48" s="88" t="s">
        <v>335</v>
      </c>
      <c r="B48" s="85" t="s">
        <v>415</v>
      </c>
      <c r="C48" s="85" t="s">
        <v>489</v>
      </c>
      <c r="D48" s="88"/>
    </row>
    <row r="49" spans="1:4" ht="45" x14ac:dyDescent="0.25">
      <c r="A49" s="88" t="s">
        <v>273</v>
      </c>
      <c r="B49" s="85" t="s">
        <v>274</v>
      </c>
      <c r="C49" s="85" t="s">
        <v>275</v>
      </c>
      <c r="D49" s="88" t="s">
        <v>276</v>
      </c>
    </row>
    <row r="50" spans="1:4" ht="30" x14ac:dyDescent="0.25">
      <c r="A50" s="60" t="s">
        <v>246</v>
      </c>
      <c r="B50" s="62" t="s">
        <v>244</v>
      </c>
      <c r="C50" s="62" t="s">
        <v>245</v>
      </c>
      <c r="D50" s="62" t="s">
        <v>247</v>
      </c>
    </row>
    <row r="51" spans="1:4" ht="60" x14ac:dyDescent="0.25">
      <c r="A51" s="60" t="s">
        <v>590</v>
      </c>
      <c r="B51" s="62" t="s">
        <v>578</v>
      </c>
      <c r="C51" s="61" t="s">
        <v>591</v>
      </c>
      <c r="D51" s="61" t="s">
        <v>579</v>
      </c>
    </row>
    <row r="52" spans="1:4" x14ac:dyDescent="0.25">
      <c r="A52" s="60"/>
      <c r="B52" s="62"/>
      <c r="C52" s="62"/>
      <c r="D52" s="62"/>
    </row>
    <row r="53" spans="1:4" x14ac:dyDescent="0.25">
      <c r="A53" s="32" t="s">
        <v>575</v>
      </c>
      <c r="B53" s="35" t="s">
        <v>576</v>
      </c>
      <c r="C53" s="35" t="s">
        <v>577</v>
      </c>
      <c r="D53" s="35"/>
    </row>
    <row r="54" spans="1:4" x14ac:dyDescent="0.25">
      <c r="A54" s="60" t="s">
        <v>581</v>
      </c>
      <c r="B54" s="62" t="s">
        <v>163</v>
      </c>
      <c r="C54" s="62" t="s">
        <v>580</v>
      </c>
      <c r="D54" s="62"/>
    </row>
    <row r="55" spans="1:4" x14ac:dyDescent="0.25">
      <c r="A55" s="60" t="s">
        <v>582</v>
      </c>
      <c r="B55" s="62" t="s">
        <v>583</v>
      </c>
      <c r="C55" s="62" t="s">
        <v>327</v>
      </c>
      <c r="D55" s="62"/>
    </row>
    <row r="56" spans="1:4" x14ac:dyDescent="0.25">
      <c r="A56" s="60" t="s">
        <v>585</v>
      </c>
      <c r="B56" s="62" t="s">
        <v>166</v>
      </c>
      <c r="C56" s="62" t="s">
        <v>586</v>
      </c>
      <c r="D56" s="62"/>
    </row>
    <row r="57" spans="1:4" ht="60" x14ac:dyDescent="0.25">
      <c r="A57" s="63" t="s">
        <v>587</v>
      </c>
      <c r="B57" s="62" t="s">
        <v>78</v>
      </c>
      <c r="C57" s="62" t="s">
        <v>588</v>
      </c>
      <c r="D57" s="61" t="s">
        <v>589</v>
      </c>
    </row>
    <row r="58" spans="1:4" ht="45" x14ac:dyDescent="0.25">
      <c r="A58" s="32" t="s">
        <v>867</v>
      </c>
      <c r="B58" s="29" t="s">
        <v>868</v>
      </c>
      <c r="C58" s="29" t="s">
        <v>420</v>
      </c>
      <c r="D58" s="29"/>
    </row>
    <row r="59" spans="1:4" x14ac:dyDescent="0.25">
      <c r="A59" s="63" t="s">
        <v>170</v>
      </c>
      <c r="B59" s="62" t="s">
        <v>117</v>
      </c>
      <c r="C59" s="62" t="s">
        <v>277</v>
      </c>
      <c r="D59" s="62"/>
    </row>
    <row r="60" spans="1:4" ht="45" x14ac:dyDescent="0.25">
      <c r="A60" s="156" t="s">
        <v>593</v>
      </c>
      <c r="B60" s="41" t="s">
        <v>416</v>
      </c>
      <c r="C60" s="41" t="s">
        <v>417</v>
      </c>
      <c r="D60" s="41"/>
    </row>
    <row r="61" spans="1:4" ht="60" x14ac:dyDescent="0.25">
      <c r="A61" s="13" t="s">
        <v>418</v>
      </c>
      <c r="B61" s="11" t="s">
        <v>419</v>
      </c>
      <c r="C61" s="11" t="s">
        <v>420</v>
      </c>
      <c r="D61" s="86" t="s">
        <v>490</v>
      </c>
    </row>
    <row r="62" spans="1:4" x14ac:dyDescent="0.25">
      <c r="A62" s="17" t="s">
        <v>325</v>
      </c>
      <c r="B62" s="12" t="s">
        <v>400</v>
      </c>
      <c r="C62" s="12" t="s">
        <v>309</v>
      </c>
      <c r="D62" s="17"/>
    </row>
    <row r="63" spans="1:4" x14ac:dyDescent="0.25">
      <c r="A63" s="17" t="s">
        <v>421</v>
      </c>
      <c r="B63" s="12" t="s">
        <v>422</v>
      </c>
      <c r="C63" s="12" t="s">
        <v>373</v>
      </c>
      <c r="D63" s="17"/>
    </row>
    <row r="64" spans="1:4" ht="30" x14ac:dyDescent="0.25">
      <c r="A64" s="17" t="s">
        <v>423</v>
      </c>
      <c r="B64" s="12" t="s">
        <v>424</v>
      </c>
      <c r="C64" s="12" t="s">
        <v>425</v>
      </c>
      <c r="D64" s="17"/>
    </row>
    <row r="65" spans="1:4" x14ac:dyDescent="0.25">
      <c r="A65" s="17" t="s">
        <v>426</v>
      </c>
      <c r="B65" s="12" t="s">
        <v>266</v>
      </c>
      <c r="C65" s="12" t="s">
        <v>309</v>
      </c>
      <c r="D65" s="17"/>
    </row>
    <row r="66" spans="1:4" x14ac:dyDescent="0.25">
      <c r="A66" s="17" t="s">
        <v>427</v>
      </c>
      <c r="B66" s="12" t="s">
        <v>428</v>
      </c>
      <c r="C66" s="12" t="s">
        <v>375</v>
      </c>
      <c r="D66" s="17"/>
    </row>
    <row r="67" spans="1:4" ht="44.25" customHeight="1" x14ac:dyDescent="0.25">
      <c r="A67" s="17" t="s">
        <v>429</v>
      </c>
      <c r="B67" s="12" t="s">
        <v>430</v>
      </c>
      <c r="C67" s="17" t="s">
        <v>973</v>
      </c>
      <c r="D67" s="17"/>
    </row>
    <row r="68" spans="1:4" x14ac:dyDescent="0.25">
      <c r="A68" s="17" t="s">
        <v>433</v>
      </c>
      <c r="B68" s="12" t="s">
        <v>326</v>
      </c>
      <c r="C68" s="12" t="s">
        <v>309</v>
      </c>
      <c r="D68" s="17"/>
    </row>
    <row r="69" spans="1:4" x14ac:dyDescent="0.25">
      <c r="A69" s="63"/>
      <c r="B69" s="62"/>
      <c r="C69" s="62"/>
      <c r="D69" s="62"/>
    </row>
    <row r="70" spans="1:4" ht="15.75" thickBot="1" x14ac:dyDescent="0.3">
      <c r="A70" s="146"/>
      <c r="B70" s="147"/>
      <c r="C70" s="147"/>
      <c r="D70" s="147"/>
    </row>
    <row r="71" spans="1:4" ht="180.75" thickTop="1" x14ac:dyDescent="0.25">
      <c r="A71" s="107" t="s">
        <v>338</v>
      </c>
      <c r="B71" s="14"/>
      <c r="C71" s="56"/>
      <c r="D71" s="142" t="s">
        <v>574</v>
      </c>
    </row>
    <row r="72" spans="1:4" ht="30" x14ac:dyDescent="0.25">
      <c r="A72" s="17" t="s">
        <v>339</v>
      </c>
      <c r="B72" s="12"/>
      <c r="C72" s="78"/>
      <c r="D72" s="12"/>
    </row>
    <row r="73" spans="1:4" ht="30" x14ac:dyDescent="0.25">
      <c r="A73" s="13" t="s">
        <v>340</v>
      </c>
      <c r="B73" s="12" t="s">
        <v>344</v>
      </c>
      <c r="C73" s="12" t="s">
        <v>307</v>
      </c>
      <c r="D73" s="13"/>
    </row>
    <row r="74" spans="1:4" ht="45" x14ac:dyDescent="0.25">
      <c r="A74" s="13" t="s">
        <v>341</v>
      </c>
      <c r="B74" s="12" t="s">
        <v>345</v>
      </c>
      <c r="C74" s="12" t="s">
        <v>346</v>
      </c>
      <c r="D74" s="13"/>
    </row>
    <row r="75" spans="1:4" x14ac:dyDescent="0.25">
      <c r="A75" s="13" t="s">
        <v>342</v>
      </c>
      <c r="B75" s="12" t="s">
        <v>347</v>
      </c>
      <c r="C75" s="12" t="s">
        <v>348</v>
      </c>
      <c r="D75" s="13"/>
    </row>
    <row r="76" spans="1:4" ht="30" x14ac:dyDescent="0.25">
      <c r="A76" s="13" t="s">
        <v>343</v>
      </c>
      <c r="B76" s="12" t="s">
        <v>349</v>
      </c>
      <c r="C76" s="12" t="s">
        <v>350</v>
      </c>
      <c r="D76" s="13"/>
    </row>
  </sheetData>
  <sheetProtection sheet="1" objects="1" scenarios="1"/>
  <dataConsolidate/>
  <pageMargins left="0.7" right="0.7" top="0.75" bottom="0.75" header="0.3" footer="0.3"/>
  <pageSetup orientation="portrait" r:id="rId1"/>
  <ignoredErrors>
    <ignoredError sqref="C27"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75"/>
  <sheetViews>
    <sheetView workbookViewId="0">
      <pane ySplit="1" topLeftCell="A48" activePane="bottomLeft" state="frozen"/>
      <selection activeCell="C89" sqref="C89"/>
      <selection pane="bottomLeft" activeCell="A55" sqref="A55"/>
    </sheetView>
  </sheetViews>
  <sheetFormatPr defaultRowHeight="15" x14ac:dyDescent="0.25"/>
  <cols>
    <col min="1" max="1" width="57.7109375" customWidth="1"/>
    <col min="2" max="2" width="30.85546875" style="1" customWidth="1"/>
    <col min="3" max="3" width="40.5703125" style="1" customWidth="1"/>
    <col min="4" max="4" width="36.5703125" style="1" customWidth="1"/>
  </cols>
  <sheetData>
    <row r="1" spans="1:4" ht="15.75" thickBot="1" x14ac:dyDescent="0.3">
      <c r="A1" s="42" t="s">
        <v>11</v>
      </c>
      <c r="B1" s="43" t="s">
        <v>3</v>
      </c>
      <c r="C1" s="43" t="s">
        <v>193</v>
      </c>
      <c r="D1" s="43" t="s">
        <v>122</v>
      </c>
    </row>
    <row r="2" spans="1:4" ht="15.75" thickTop="1" x14ac:dyDescent="0.25">
      <c r="A2" s="15" t="s">
        <v>336</v>
      </c>
      <c r="B2" s="14"/>
      <c r="C2" s="14"/>
      <c r="D2" s="47"/>
    </row>
    <row r="3" spans="1:4" x14ac:dyDescent="0.25">
      <c r="A3" s="5" t="s">
        <v>226</v>
      </c>
      <c r="B3" s="6" t="s">
        <v>219</v>
      </c>
      <c r="C3" s="75" t="str">
        <f>CONCATENATE("https://",SMGRIP,"/SMGR")</f>
        <v>https:///SMGR</v>
      </c>
      <c r="D3" s="22"/>
    </row>
    <row r="4" spans="1:4" x14ac:dyDescent="0.25">
      <c r="A4" s="5" t="s">
        <v>237</v>
      </c>
      <c r="B4" s="6" t="s">
        <v>42</v>
      </c>
      <c r="C4" s="19" t="s">
        <v>376</v>
      </c>
      <c r="D4" s="12"/>
    </row>
    <row r="5" spans="1:4" x14ac:dyDescent="0.25">
      <c r="A5" s="5" t="s">
        <v>238</v>
      </c>
      <c r="B5" s="6" t="s">
        <v>134</v>
      </c>
      <c r="C5" s="19" t="s">
        <v>259</v>
      </c>
      <c r="D5" s="12"/>
    </row>
    <row r="6" spans="1:4" x14ac:dyDescent="0.25">
      <c r="A6" s="40" t="s">
        <v>227</v>
      </c>
      <c r="B6" s="41" t="s">
        <v>44</v>
      </c>
      <c r="C6" s="58" t="s">
        <v>256</v>
      </c>
      <c r="D6" s="59"/>
    </row>
    <row r="7" spans="1:4" ht="15.75" thickBot="1" x14ac:dyDescent="0.3">
      <c r="A7" s="2"/>
      <c r="B7" s="3"/>
      <c r="C7" s="3"/>
      <c r="D7" s="57"/>
    </row>
    <row r="8" spans="1:4" ht="15.75" thickTop="1" x14ac:dyDescent="0.25">
      <c r="A8" s="15" t="s">
        <v>137</v>
      </c>
      <c r="B8" s="14"/>
      <c r="C8" s="56"/>
      <c r="D8" s="22"/>
    </row>
    <row r="9" spans="1:4" x14ac:dyDescent="0.25">
      <c r="A9" s="5" t="s">
        <v>228</v>
      </c>
      <c r="B9" s="6" t="s">
        <v>135</v>
      </c>
      <c r="C9" s="20" t="s">
        <v>319</v>
      </c>
      <c r="D9" s="12"/>
    </row>
    <row r="10" spans="1:4" x14ac:dyDescent="0.25">
      <c r="A10" s="40" t="s">
        <v>229</v>
      </c>
      <c r="B10" s="41" t="s">
        <v>136</v>
      </c>
      <c r="C10" s="108" t="s">
        <v>320</v>
      </c>
      <c r="D10" s="59"/>
    </row>
    <row r="11" spans="1:4" ht="30" x14ac:dyDescent="0.25">
      <c r="A11" s="17" t="s">
        <v>230</v>
      </c>
      <c r="B11" s="12" t="s">
        <v>138</v>
      </c>
      <c r="C11" s="202" t="str">
        <f>CONCATENATE("5350006@",SIPDOMAIN)</f>
        <v>5350006@</v>
      </c>
      <c r="D11" s="12" t="s">
        <v>239</v>
      </c>
    </row>
    <row r="12" spans="1:4" x14ac:dyDescent="0.25">
      <c r="A12" s="5" t="s">
        <v>139</v>
      </c>
      <c r="B12" s="6" t="s">
        <v>140</v>
      </c>
      <c r="C12" s="19" t="s">
        <v>141</v>
      </c>
      <c r="D12" s="12"/>
    </row>
    <row r="13" spans="1:4" ht="45" x14ac:dyDescent="0.25">
      <c r="A13" s="162" t="s">
        <v>231</v>
      </c>
      <c r="B13" s="12" t="s">
        <v>43</v>
      </c>
      <c r="C13" s="163" t="s">
        <v>39</v>
      </c>
      <c r="D13" s="12" t="s">
        <v>405</v>
      </c>
    </row>
    <row r="14" spans="1:4" x14ac:dyDescent="0.25">
      <c r="A14" s="32" t="s">
        <v>232</v>
      </c>
      <c r="B14" s="29" t="s">
        <v>142</v>
      </c>
      <c r="C14" s="29" t="s">
        <v>39</v>
      </c>
      <c r="D14" s="35"/>
    </row>
    <row r="15" spans="1:4" ht="30" x14ac:dyDescent="0.25">
      <c r="A15" s="32" t="s">
        <v>233</v>
      </c>
      <c r="B15" s="29" t="s">
        <v>144</v>
      </c>
      <c r="C15" s="29" t="s">
        <v>869</v>
      </c>
      <c r="D15" s="29" t="s">
        <v>870</v>
      </c>
    </row>
    <row r="16" spans="1:4" ht="30" x14ac:dyDescent="0.25">
      <c r="A16" s="32" t="s">
        <v>234</v>
      </c>
      <c r="B16" s="29" t="s">
        <v>145</v>
      </c>
      <c r="C16" s="29" t="s">
        <v>869</v>
      </c>
      <c r="D16" s="29" t="s">
        <v>870</v>
      </c>
    </row>
    <row r="17" spans="1:4" ht="45" x14ac:dyDescent="0.25">
      <c r="A17" s="32" t="s">
        <v>146</v>
      </c>
      <c r="B17" s="29" t="s">
        <v>147</v>
      </c>
      <c r="C17" s="29" t="s">
        <v>148</v>
      </c>
      <c r="D17" s="29" t="s">
        <v>406</v>
      </c>
    </row>
    <row r="18" spans="1:4" x14ac:dyDescent="0.25">
      <c r="A18" s="60" t="s">
        <v>149</v>
      </c>
      <c r="B18" s="61" t="s">
        <v>150</v>
      </c>
      <c r="C18" s="75">
        <f>USERTIMEZONE</f>
        <v>0</v>
      </c>
      <c r="D18" s="12"/>
    </row>
    <row r="19" spans="1:4" ht="15.75" thickBot="1" x14ac:dyDescent="0.3">
      <c r="A19" s="53"/>
      <c r="B19" s="54"/>
      <c r="C19" s="54"/>
      <c r="D19" s="55"/>
    </row>
    <row r="20" spans="1:4" ht="15.75" thickTop="1" x14ac:dyDescent="0.25">
      <c r="A20" s="52" t="s">
        <v>151</v>
      </c>
      <c r="B20" s="31"/>
      <c r="C20" s="31"/>
      <c r="D20" s="49"/>
    </row>
    <row r="21" spans="1:4" x14ac:dyDescent="0.25">
      <c r="A21" s="32" t="s">
        <v>401</v>
      </c>
      <c r="B21" s="29" t="s">
        <v>402</v>
      </c>
      <c r="C21" s="29" t="s">
        <v>373</v>
      </c>
      <c r="D21" s="35"/>
    </row>
    <row r="22" spans="1:4" x14ac:dyDescent="0.25">
      <c r="A22" s="32" t="s">
        <v>403</v>
      </c>
      <c r="B22" s="29" t="s">
        <v>43</v>
      </c>
      <c r="C22" s="85">
        <v>5350006</v>
      </c>
      <c r="D22" s="35" t="s">
        <v>143</v>
      </c>
    </row>
    <row r="23" spans="1:4" x14ac:dyDescent="0.25">
      <c r="A23" s="32" t="s">
        <v>404</v>
      </c>
      <c r="B23" s="29" t="s">
        <v>142</v>
      </c>
      <c r="C23" s="85">
        <v>5350006</v>
      </c>
      <c r="D23" s="35" t="s">
        <v>143</v>
      </c>
    </row>
    <row r="24" spans="1:4" x14ac:dyDescent="0.25">
      <c r="A24" s="32" t="s">
        <v>152</v>
      </c>
      <c r="B24" s="29" t="s">
        <v>44</v>
      </c>
      <c r="C24" s="29" t="s">
        <v>256</v>
      </c>
      <c r="D24" s="35"/>
    </row>
    <row r="25" spans="1:4" x14ac:dyDescent="0.25">
      <c r="A25" s="32" t="s">
        <v>153</v>
      </c>
      <c r="B25" s="29" t="s">
        <v>118</v>
      </c>
      <c r="C25" s="29" t="s">
        <v>154</v>
      </c>
      <c r="D25" s="35"/>
    </row>
    <row r="26" spans="1:4" x14ac:dyDescent="0.25">
      <c r="A26" s="32" t="s">
        <v>235</v>
      </c>
      <c r="B26" s="29" t="s">
        <v>155</v>
      </c>
      <c r="C26" s="29" t="s">
        <v>584</v>
      </c>
      <c r="D26" s="35"/>
    </row>
    <row r="27" spans="1:4" x14ac:dyDescent="0.25">
      <c r="A27" s="34" t="s">
        <v>156</v>
      </c>
      <c r="B27" s="35" t="s">
        <v>157</v>
      </c>
      <c r="C27" s="71">
        <f>SIPDOMAIN</f>
        <v>0</v>
      </c>
      <c r="D27" s="35"/>
    </row>
    <row r="28" spans="1:4" x14ac:dyDescent="0.25">
      <c r="A28" s="63" t="s">
        <v>158</v>
      </c>
      <c r="B28" s="62" t="s">
        <v>91</v>
      </c>
      <c r="C28" s="62" t="s">
        <v>260</v>
      </c>
      <c r="D28" s="62"/>
    </row>
    <row r="29" spans="1:4" ht="15.75" thickBot="1" x14ac:dyDescent="0.3">
      <c r="A29" s="50"/>
      <c r="B29" s="51"/>
      <c r="C29" s="51"/>
      <c r="D29" s="51"/>
    </row>
    <row r="30" spans="1:4" ht="30.75" thickTop="1" x14ac:dyDescent="0.25">
      <c r="A30" s="64" t="s">
        <v>242</v>
      </c>
      <c r="B30" s="49" t="s">
        <v>261</v>
      </c>
      <c r="C30" s="49" t="s">
        <v>262</v>
      </c>
      <c r="D30" s="49"/>
    </row>
    <row r="31" spans="1:4" x14ac:dyDescent="0.25">
      <c r="A31" s="34" t="s">
        <v>159</v>
      </c>
      <c r="B31" s="35" t="s">
        <v>160</v>
      </c>
      <c r="C31" s="226">
        <f>SMHOSTNAME</f>
        <v>0</v>
      </c>
      <c r="D31" s="35"/>
    </row>
    <row r="32" spans="1:4" ht="30" x14ac:dyDescent="0.25">
      <c r="A32" s="32" t="s">
        <v>173</v>
      </c>
      <c r="B32" s="29" t="s">
        <v>171</v>
      </c>
      <c r="C32" s="230">
        <f>CMHOSTNAME</f>
        <v>0</v>
      </c>
      <c r="D32" s="35"/>
    </row>
    <row r="33" spans="1:4" ht="30" x14ac:dyDescent="0.25">
      <c r="A33" s="32" t="s">
        <v>174</v>
      </c>
      <c r="B33" s="29" t="s">
        <v>172</v>
      </c>
      <c r="C33" s="230">
        <f>CMHOSTNAME</f>
        <v>0</v>
      </c>
      <c r="D33" s="35"/>
    </row>
    <row r="34" spans="1:4" x14ac:dyDescent="0.25">
      <c r="A34" s="63" t="s">
        <v>161</v>
      </c>
      <c r="B34" s="62" t="s">
        <v>162</v>
      </c>
      <c r="C34" s="75">
        <f>LOCATIONNAME</f>
        <v>0</v>
      </c>
      <c r="D34" s="12"/>
    </row>
    <row r="35" spans="1:4" ht="15.75" thickBot="1" x14ac:dyDescent="0.3">
      <c r="A35" s="50"/>
      <c r="B35" s="51"/>
      <c r="C35" s="51"/>
      <c r="D35" s="51"/>
    </row>
    <row r="36" spans="1:4" ht="15.75" thickTop="1" x14ac:dyDescent="0.25">
      <c r="A36" s="48" t="s">
        <v>1151</v>
      </c>
      <c r="B36" s="49" t="s">
        <v>1152</v>
      </c>
      <c r="C36" s="49" t="s">
        <v>1153</v>
      </c>
      <c r="D36" s="49"/>
    </row>
    <row r="37" spans="1:4" x14ac:dyDescent="0.25">
      <c r="A37" s="32" t="s">
        <v>633</v>
      </c>
      <c r="B37" s="35" t="s">
        <v>163</v>
      </c>
      <c r="C37" s="35" t="s">
        <v>116</v>
      </c>
      <c r="D37" s="87"/>
    </row>
    <row r="38" spans="1:4" x14ac:dyDescent="0.25">
      <c r="A38" s="34" t="s">
        <v>407</v>
      </c>
      <c r="B38" s="35" t="s">
        <v>409</v>
      </c>
      <c r="C38" s="35" t="s">
        <v>408</v>
      </c>
      <c r="D38" s="35"/>
    </row>
    <row r="39" spans="1:4" x14ac:dyDescent="0.25">
      <c r="A39" s="34" t="s">
        <v>236</v>
      </c>
      <c r="B39" s="35" t="s">
        <v>164</v>
      </c>
      <c r="C39" s="35">
        <v>5350006</v>
      </c>
      <c r="D39" s="35"/>
    </row>
    <row r="40" spans="1:4" x14ac:dyDescent="0.25">
      <c r="A40" s="34" t="s">
        <v>165</v>
      </c>
      <c r="B40" s="35" t="s">
        <v>166</v>
      </c>
      <c r="C40" s="35" t="s">
        <v>1542</v>
      </c>
      <c r="D40" s="35"/>
    </row>
    <row r="41" spans="1:4" x14ac:dyDescent="0.25">
      <c r="A41" s="34" t="s">
        <v>168</v>
      </c>
      <c r="B41" s="35" t="s">
        <v>47</v>
      </c>
      <c r="C41" s="35" t="s">
        <v>169</v>
      </c>
      <c r="D41" s="35"/>
    </row>
    <row r="42" spans="1:4" x14ac:dyDescent="0.25">
      <c r="A42" s="34" t="s">
        <v>265</v>
      </c>
      <c r="B42" s="35" t="s">
        <v>266</v>
      </c>
      <c r="C42" s="35" t="s">
        <v>267</v>
      </c>
      <c r="D42" s="35"/>
    </row>
    <row r="43" spans="1:4" ht="60" x14ac:dyDescent="0.25">
      <c r="A43" s="88" t="s">
        <v>270</v>
      </c>
      <c r="B43" s="85" t="s">
        <v>269</v>
      </c>
      <c r="C43" s="85">
        <v>3</v>
      </c>
      <c r="D43" s="88" t="s">
        <v>268</v>
      </c>
    </row>
    <row r="44" spans="1:4" ht="30" x14ac:dyDescent="0.25">
      <c r="A44" s="88" t="s">
        <v>329</v>
      </c>
      <c r="B44" s="85" t="s">
        <v>330</v>
      </c>
      <c r="C44" s="85" t="s">
        <v>331</v>
      </c>
      <c r="D44" s="88"/>
    </row>
    <row r="45" spans="1:4" ht="30" x14ac:dyDescent="0.25">
      <c r="A45" s="88" t="s">
        <v>332</v>
      </c>
      <c r="B45" s="85" t="s">
        <v>333</v>
      </c>
      <c r="C45" s="85" t="s">
        <v>334</v>
      </c>
      <c r="D45" s="88"/>
    </row>
    <row r="46" spans="1:4" x14ac:dyDescent="0.25">
      <c r="A46" s="88" t="s">
        <v>412</v>
      </c>
      <c r="B46" s="85" t="s">
        <v>413</v>
      </c>
      <c r="C46" s="85" t="s">
        <v>414</v>
      </c>
      <c r="D46" s="88"/>
    </row>
    <row r="47" spans="1:4" ht="45" x14ac:dyDescent="0.25">
      <c r="A47" s="88" t="s">
        <v>337</v>
      </c>
      <c r="B47" s="85" t="s">
        <v>415</v>
      </c>
      <c r="C47" s="85" t="s">
        <v>488</v>
      </c>
      <c r="D47" s="88"/>
    </row>
    <row r="48" spans="1:4" ht="45" x14ac:dyDescent="0.25">
      <c r="A48" s="88" t="s">
        <v>273</v>
      </c>
      <c r="B48" s="85" t="s">
        <v>274</v>
      </c>
      <c r="C48" s="85" t="s">
        <v>275</v>
      </c>
      <c r="D48" s="88" t="s">
        <v>276</v>
      </c>
    </row>
    <row r="49" spans="1:4" ht="30" x14ac:dyDescent="0.25">
      <c r="A49" s="60" t="s">
        <v>1154</v>
      </c>
      <c r="B49" s="62" t="s">
        <v>1155</v>
      </c>
      <c r="C49" s="62" t="s">
        <v>245</v>
      </c>
      <c r="D49" s="62" t="s">
        <v>247</v>
      </c>
    </row>
    <row r="50" spans="1:4" ht="60" x14ac:dyDescent="0.25">
      <c r="A50" s="60" t="s">
        <v>590</v>
      </c>
      <c r="B50" s="62" t="s">
        <v>578</v>
      </c>
      <c r="C50" s="61" t="s">
        <v>591</v>
      </c>
      <c r="D50" s="61" t="s">
        <v>579</v>
      </c>
    </row>
    <row r="51" spans="1:4" x14ac:dyDescent="0.25">
      <c r="A51" s="32"/>
      <c r="B51" s="35"/>
      <c r="C51" s="35"/>
      <c r="D51" s="35"/>
    </row>
    <row r="52" spans="1:4" x14ac:dyDescent="0.25">
      <c r="A52" s="64" t="s">
        <v>575</v>
      </c>
      <c r="B52" s="49" t="s">
        <v>576</v>
      </c>
      <c r="C52" s="49" t="s">
        <v>577</v>
      </c>
      <c r="D52" s="49"/>
    </row>
    <row r="53" spans="1:4" x14ac:dyDescent="0.25">
      <c r="A53" s="60" t="s">
        <v>581</v>
      </c>
      <c r="B53" s="62" t="s">
        <v>163</v>
      </c>
      <c r="C53" s="62" t="s">
        <v>580</v>
      </c>
      <c r="D53" s="62"/>
    </row>
    <row r="54" spans="1:4" x14ac:dyDescent="0.25">
      <c r="A54" s="60" t="s">
        <v>582</v>
      </c>
      <c r="B54" s="62" t="s">
        <v>583</v>
      </c>
      <c r="C54" s="62" t="s">
        <v>584</v>
      </c>
      <c r="D54" s="62"/>
    </row>
    <row r="55" spans="1:4" ht="60" x14ac:dyDescent="0.25">
      <c r="A55" s="60" t="s">
        <v>1544</v>
      </c>
      <c r="B55" s="62" t="s">
        <v>166</v>
      </c>
      <c r="C55" s="62" t="s">
        <v>1543</v>
      </c>
      <c r="D55" s="61" t="s">
        <v>1553</v>
      </c>
    </row>
    <row r="56" spans="1:4" ht="60.75" thickBot="1" x14ac:dyDescent="0.3">
      <c r="A56" s="50" t="s">
        <v>587</v>
      </c>
      <c r="B56" s="51" t="s">
        <v>78</v>
      </c>
      <c r="C56" s="51" t="s">
        <v>588</v>
      </c>
      <c r="D56" s="176" t="s">
        <v>589</v>
      </c>
    </row>
    <row r="57" spans="1:4" ht="15.75" thickTop="1" x14ac:dyDescent="0.25">
      <c r="A57" s="174"/>
      <c r="B57" s="175"/>
      <c r="C57" s="175"/>
      <c r="D57" s="175"/>
    </row>
    <row r="58" spans="1:4" x14ac:dyDescent="0.25">
      <c r="A58" s="63" t="s">
        <v>170</v>
      </c>
      <c r="B58" s="62" t="s">
        <v>117</v>
      </c>
      <c r="C58" s="62" t="s">
        <v>277</v>
      </c>
      <c r="D58" s="62"/>
    </row>
    <row r="59" spans="1:4" ht="45" x14ac:dyDescent="0.25">
      <c r="A59" s="156" t="s">
        <v>593</v>
      </c>
      <c r="B59" s="41" t="s">
        <v>416</v>
      </c>
      <c r="C59" s="41" t="s">
        <v>417</v>
      </c>
      <c r="D59" s="41"/>
    </row>
    <row r="60" spans="1:4" ht="60" x14ac:dyDescent="0.25">
      <c r="A60" s="13" t="s">
        <v>418</v>
      </c>
      <c r="B60" s="11" t="s">
        <v>419</v>
      </c>
      <c r="C60" s="11" t="s">
        <v>420</v>
      </c>
      <c r="D60" s="86" t="s">
        <v>490</v>
      </c>
    </row>
    <row r="61" spans="1:4" x14ac:dyDescent="0.25">
      <c r="A61" s="17" t="s">
        <v>325</v>
      </c>
      <c r="B61" s="12" t="s">
        <v>400</v>
      </c>
      <c r="C61" s="12" t="s">
        <v>309</v>
      </c>
      <c r="D61" s="17"/>
    </row>
    <row r="62" spans="1:4" x14ac:dyDescent="0.25">
      <c r="A62" s="17" t="s">
        <v>421</v>
      </c>
      <c r="B62" s="12" t="s">
        <v>422</v>
      </c>
      <c r="C62" s="12" t="s">
        <v>373</v>
      </c>
      <c r="D62" s="17"/>
    </row>
    <row r="63" spans="1:4" ht="30" x14ac:dyDescent="0.25">
      <c r="A63" s="17" t="s">
        <v>423</v>
      </c>
      <c r="B63" s="12" t="s">
        <v>424</v>
      </c>
      <c r="C63" s="12" t="s">
        <v>425</v>
      </c>
      <c r="D63" s="17"/>
    </row>
    <row r="64" spans="1:4" x14ac:dyDescent="0.25">
      <c r="A64" s="17" t="s">
        <v>426</v>
      </c>
      <c r="B64" s="12" t="s">
        <v>266</v>
      </c>
      <c r="C64" s="12" t="s">
        <v>309</v>
      </c>
      <c r="D64" s="17"/>
    </row>
    <row r="65" spans="1:4" x14ac:dyDescent="0.25">
      <c r="A65" s="17" t="s">
        <v>427</v>
      </c>
      <c r="B65" s="12" t="s">
        <v>428</v>
      </c>
      <c r="C65" s="12" t="s">
        <v>375</v>
      </c>
      <c r="D65" s="17"/>
    </row>
    <row r="66" spans="1:4" ht="30" x14ac:dyDescent="0.25">
      <c r="A66" s="17" t="s">
        <v>429</v>
      </c>
      <c r="B66" s="12" t="s">
        <v>430</v>
      </c>
      <c r="C66" s="12" t="s">
        <v>491</v>
      </c>
      <c r="D66" s="17"/>
    </row>
    <row r="67" spans="1:4" x14ac:dyDescent="0.25">
      <c r="A67" s="17" t="s">
        <v>433</v>
      </c>
      <c r="B67" s="12" t="s">
        <v>326</v>
      </c>
      <c r="C67" s="12" t="s">
        <v>309</v>
      </c>
      <c r="D67" s="17"/>
    </row>
    <row r="68" spans="1:4" x14ac:dyDescent="0.25">
      <c r="A68" s="63"/>
      <c r="B68" s="62"/>
      <c r="C68" s="62"/>
      <c r="D68" s="62"/>
    </row>
    <row r="69" spans="1:4" ht="15.75" thickBot="1" x14ac:dyDescent="0.3">
      <c r="A69" s="146"/>
      <c r="B69" s="147"/>
      <c r="C69" s="147"/>
      <c r="D69" s="147"/>
    </row>
    <row r="70" spans="1:4" ht="180.75" thickTop="1" x14ac:dyDescent="0.25">
      <c r="A70" s="107" t="s">
        <v>338</v>
      </c>
      <c r="B70" s="14"/>
      <c r="C70" s="56"/>
      <c r="D70" s="142" t="s">
        <v>574</v>
      </c>
    </row>
    <row r="71" spans="1:4" ht="30" x14ac:dyDescent="0.25">
      <c r="A71" s="17" t="s">
        <v>339</v>
      </c>
      <c r="B71" s="12"/>
      <c r="C71" s="78"/>
      <c r="D71" s="12"/>
    </row>
    <row r="72" spans="1:4" ht="30" x14ac:dyDescent="0.25">
      <c r="A72" s="13" t="s">
        <v>340</v>
      </c>
      <c r="B72" s="12" t="s">
        <v>344</v>
      </c>
      <c r="C72" s="12" t="s">
        <v>307</v>
      </c>
      <c r="D72" s="13"/>
    </row>
    <row r="73" spans="1:4" ht="45" x14ac:dyDescent="0.25">
      <c r="A73" s="13" t="s">
        <v>341</v>
      </c>
      <c r="B73" s="12" t="s">
        <v>345</v>
      </c>
      <c r="C73" s="12" t="s">
        <v>346</v>
      </c>
      <c r="D73" s="13"/>
    </row>
    <row r="74" spans="1:4" x14ac:dyDescent="0.25">
      <c r="A74" s="13" t="s">
        <v>342</v>
      </c>
      <c r="B74" s="12" t="s">
        <v>347</v>
      </c>
      <c r="C74" s="12" t="s">
        <v>348</v>
      </c>
      <c r="D74" s="13"/>
    </row>
    <row r="75" spans="1:4" ht="30" x14ac:dyDescent="0.25">
      <c r="A75" s="13" t="s">
        <v>343</v>
      </c>
      <c r="B75" s="12" t="s">
        <v>349</v>
      </c>
      <c r="C75" s="12" t="s">
        <v>350</v>
      </c>
      <c r="D75" s="13"/>
    </row>
  </sheetData>
  <sheetProtection sheet="1" objects="1" scenarios="1"/>
  <dataConsolid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195"/>
  <sheetViews>
    <sheetView topLeftCell="A186" zoomScaleNormal="100" workbookViewId="0">
      <selection activeCell="B190" sqref="B190"/>
    </sheetView>
  </sheetViews>
  <sheetFormatPr defaultRowHeight="15" x14ac:dyDescent="0.25"/>
  <cols>
    <col min="1" max="1" width="61.85546875" style="477" customWidth="1"/>
    <col min="2" max="2" width="53" style="451" customWidth="1"/>
    <col min="3" max="3" width="53" style="486" customWidth="1"/>
    <col min="4" max="16384" width="9.140625" style="66"/>
  </cols>
  <sheetData>
    <row r="1" spans="1:3" s="344" customFormat="1" ht="15.75" thickBot="1" x14ac:dyDescent="0.3">
      <c r="A1" s="452" t="s">
        <v>196</v>
      </c>
      <c r="B1" s="424" t="s">
        <v>798</v>
      </c>
      <c r="C1" s="452" t="s">
        <v>750</v>
      </c>
    </row>
    <row r="2" spans="1:3" ht="15.75" thickTop="1" x14ac:dyDescent="0.25">
      <c r="A2" s="453" t="s">
        <v>177</v>
      </c>
      <c r="B2" s="425"/>
      <c r="C2" s="478"/>
    </row>
    <row r="3" spans="1:3" x14ac:dyDescent="0.25">
      <c r="A3" s="454" t="s">
        <v>13</v>
      </c>
      <c r="B3" s="426"/>
      <c r="C3" s="428" t="s">
        <v>2</v>
      </c>
    </row>
    <row r="4" spans="1:3" x14ac:dyDescent="0.25">
      <c r="A4" s="454" t="s">
        <v>1291</v>
      </c>
      <c r="B4" s="426"/>
      <c r="C4" s="428" t="s">
        <v>1292</v>
      </c>
    </row>
    <row r="5" spans="1:3" x14ac:dyDescent="0.25">
      <c r="A5" s="454" t="s">
        <v>190</v>
      </c>
      <c r="B5" s="426"/>
      <c r="C5" s="428" t="s">
        <v>639</v>
      </c>
    </row>
    <row r="6" spans="1:3" x14ac:dyDescent="0.25">
      <c r="A6" s="454" t="s">
        <v>178</v>
      </c>
      <c r="B6" s="426"/>
      <c r="C6" s="428" t="s">
        <v>653</v>
      </c>
    </row>
    <row r="7" spans="1:3" x14ac:dyDescent="0.25">
      <c r="A7" s="454" t="s">
        <v>499</v>
      </c>
      <c r="B7" s="426"/>
      <c r="C7" s="428" t="s">
        <v>654</v>
      </c>
    </row>
    <row r="8" spans="1:3" x14ac:dyDescent="0.25">
      <c r="A8" s="454" t="s">
        <v>180</v>
      </c>
      <c r="B8" s="426"/>
      <c r="C8" s="428" t="s">
        <v>655</v>
      </c>
    </row>
    <row r="9" spans="1:3" x14ac:dyDescent="0.25">
      <c r="A9" s="454" t="s">
        <v>181</v>
      </c>
      <c r="B9" s="426"/>
      <c r="C9" s="428" t="s">
        <v>192</v>
      </c>
    </row>
    <row r="10" spans="1:3" x14ac:dyDescent="0.25">
      <c r="A10" s="454" t="s">
        <v>194</v>
      </c>
      <c r="B10" s="426"/>
      <c r="C10" s="428" t="s">
        <v>1253</v>
      </c>
    </row>
    <row r="11" spans="1:3" x14ac:dyDescent="0.25">
      <c r="A11" s="454" t="s">
        <v>1293</v>
      </c>
      <c r="B11" s="426"/>
      <c r="C11" s="428" t="s">
        <v>1294</v>
      </c>
    </row>
    <row r="12" spans="1:3" x14ac:dyDescent="0.25">
      <c r="A12" s="455" t="s">
        <v>191</v>
      </c>
      <c r="B12" s="426"/>
      <c r="C12" s="428" t="s">
        <v>640</v>
      </c>
    </row>
    <row r="13" spans="1:3" x14ac:dyDescent="0.25">
      <c r="A13" s="455" t="s">
        <v>182</v>
      </c>
      <c r="B13" s="426"/>
      <c r="C13" s="428" t="s">
        <v>657</v>
      </c>
    </row>
    <row r="14" spans="1:3" x14ac:dyDescent="0.25">
      <c r="A14" s="455" t="s">
        <v>1295</v>
      </c>
      <c r="B14" s="426"/>
      <c r="C14" s="428" t="s">
        <v>1296</v>
      </c>
    </row>
    <row r="15" spans="1:3" x14ac:dyDescent="0.25">
      <c r="A15" s="455" t="s">
        <v>1067</v>
      </c>
      <c r="B15" s="426"/>
      <c r="C15" s="428" t="s">
        <v>1068</v>
      </c>
    </row>
    <row r="16" spans="1:3" x14ac:dyDescent="0.25">
      <c r="A16" s="455" t="s">
        <v>1065</v>
      </c>
      <c r="B16" s="426"/>
      <c r="C16" s="428" t="s">
        <v>1066</v>
      </c>
    </row>
    <row r="17" spans="1:3" x14ac:dyDescent="0.25">
      <c r="A17" s="455" t="s">
        <v>195</v>
      </c>
      <c r="B17" s="426"/>
      <c r="C17" s="428" t="s">
        <v>45</v>
      </c>
    </row>
    <row r="18" spans="1:3" x14ac:dyDescent="0.25">
      <c r="A18" s="455" t="s">
        <v>1376</v>
      </c>
      <c r="B18" s="426"/>
      <c r="C18" s="428" t="s">
        <v>1377</v>
      </c>
    </row>
    <row r="19" spans="1:3" x14ac:dyDescent="0.25">
      <c r="A19" s="456" t="s">
        <v>1290</v>
      </c>
      <c r="B19" s="426"/>
      <c r="C19" s="428" t="s">
        <v>1378</v>
      </c>
    </row>
    <row r="20" spans="1:3" x14ac:dyDescent="0.25">
      <c r="A20" s="457" t="s">
        <v>1535</v>
      </c>
      <c r="B20" s="426"/>
      <c r="C20" s="428"/>
    </row>
    <row r="21" spans="1:3" x14ac:dyDescent="0.25">
      <c r="A21" s="428" t="s">
        <v>1322</v>
      </c>
      <c r="B21" s="427"/>
      <c r="C21" s="428" t="s">
        <v>1409</v>
      </c>
    </row>
    <row r="22" spans="1:3" x14ac:dyDescent="0.25">
      <c r="A22" s="428" t="s">
        <v>1323</v>
      </c>
      <c r="B22" s="427"/>
      <c r="C22" s="428" t="s">
        <v>1459</v>
      </c>
    </row>
    <row r="23" spans="1:3" x14ac:dyDescent="0.25">
      <c r="A23" s="428" t="s">
        <v>500</v>
      </c>
      <c r="B23" s="427"/>
      <c r="C23" s="428" t="s">
        <v>1436</v>
      </c>
    </row>
    <row r="24" spans="1:3" x14ac:dyDescent="0.25">
      <c r="A24" s="428" t="s">
        <v>1324</v>
      </c>
      <c r="B24" s="427"/>
      <c r="C24" s="428" t="s">
        <v>1436</v>
      </c>
    </row>
    <row r="25" spans="1:3" x14ac:dyDescent="0.25">
      <c r="A25" s="457" t="s">
        <v>1534</v>
      </c>
      <c r="B25" s="426"/>
      <c r="C25" s="428"/>
    </row>
    <row r="26" spans="1:3" ht="30" x14ac:dyDescent="0.25">
      <c r="A26" s="428" t="s">
        <v>1322</v>
      </c>
      <c r="B26" s="427"/>
      <c r="C26" s="428" t="s">
        <v>1460</v>
      </c>
    </row>
    <row r="27" spans="1:3" ht="30" x14ac:dyDescent="0.25">
      <c r="A27" s="428" t="s">
        <v>1323</v>
      </c>
      <c r="B27" s="427"/>
      <c r="C27" s="428" t="s">
        <v>1461</v>
      </c>
    </row>
    <row r="28" spans="1:3" ht="30" x14ac:dyDescent="0.25">
      <c r="A28" s="428" t="s">
        <v>500</v>
      </c>
      <c r="B28" s="427"/>
      <c r="C28" s="428" t="s">
        <v>1461</v>
      </c>
    </row>
    <row r="29" spans="1:3" ht="30" x14ac:dyDescent="0.25">
      <c r="A29" s="428" t="s">
        <v>1324</v>
      </c>
      <c r="B29" s="427"/>
      <c r="C29" s="428" t="s">
        <v>1460</v>
      </c>
    </row>
    <row r="30" spans="1:3" ht="45" x14ac:dyDescent="0.25">
      <c r="A30" s="458" t="s">
        <v>1403</v>
      </c>
      <c r="B30" s="428"/>
      <c r="C30" s="479" t="s">
        <v>1162</v>
      </c>
    </row>
    <row r="31" spans="1:3" x14ac:dyDescent="0.25">
      <c r="A31" s="454" t="s">
        <v>13</v>
      </c>
      <c r="B31" s="426"/>
      <c r="C31" s="428" t="s">
        <v>2</v>
      </c>
    </row>
    <row r="32" spans="1:3" x14ac:dyDescent="0.25">
      <c r="A32" s="454" t="s">
        <v>1291</v>
      </c>
      <c r="B32" s="429"/>
      <c r="C32" s="428" t="s">
        <v>1405</v>
      </c>
    </row>
    <row r="33" spans="1:3" x14ac:dyDescent="0.25">
      <c r="A33" s="454" t="s">
        <v>1406</v>
      </c>
      <c r="B33" s="426"/>
      <c r="C33" s="428" t="s">
        <v>208</v>
      </c>
    </row>
    <row r="34" spans="1:3" x14ac:dyDescent="0.25">
      <c r="A34" s="454" t="s">
        <v>190</v>
      </c>
      <c r="B34" s="426"/>
      <c r="C34" s="428" t="s">
        <v>1160</v>
      </c>
    </row>
    <row r="35" spans="1:3" x14ac:dyDescent="0.25">
      <c r="A35" s="454" t="s">
        <v>180</v>
      </c>
      <c r="B35" s="426"/>
      <c r="C35" s="428" t="s">
        <v>655</v>
      </c>
    </row>
    <row r="36" spans="1:3" x14ac:dyDescent="0.25">
      <c r="A36" s="454" t="s">
        <v>181</v>
      </c>
      <c r="B36" s="426"/>
      <c r="C36" s="428" t="s">
        <v>192</v>
      </c>
    </row>
    <row r="37" spans="1:3" x14ac:dyDescent="0.25">
      <c r="A37" s="454" t="s">
        <v>194</v>
      </c>
      <c r="B37" s="426"/>
      <c r="C37" s="428" t="s">
        <v>656</v>
      </c>
    </row>
    <row r="38" spans="1:3" x14ac:dyDescent="0.25">
      <c r="A38" s="454" t="s">
        <v>1293</v>
      </c>
      <c r="B38" s="426"/>
      <c r="C38" s="428" t="s">
        <v>1408</v>
      </c>
    </row>
    <row r="39" spans="1:3" x14ac:dyDescent="0.25">
      <c r="A39" s="454" t="s">
        <v>1407</v>
      </c>
      <c r="B39" s="426"/>
      <c r="C39" s="428" t="s">
        <v>208</v>
      </c>
    </row>
    <row r="40" spans="1:3" x14ac:dyDescent="0.25">
      <c r="A40" s="455" t="s">
        <v>191</v>
      </c>
      <c r="B40" s="426"/>
      <c r="C40" s="428" t="s">
        <v>1161</v>
      </c>
    </row>
    <row r="41" spans="1:3" x14ac:dyDescent="0.25">
      <c r="A41" s="455" t="s">
        <v>182</v>
      </c>
      <c r="B41" s="426"/>
      <c r="C41" s="428" t="s">
        <v>657</v>
      </c>
    </row>
    <row r="42" spans="1:3" x14ac:dyDescent="0.25">
      <c r="A42" s="459" t="s">
        <v>1322</v>
      </c>
      <c r="B42" s="427"/>
      <c r="C42" s="428" t="s">
        <v>1409</v>
      </c>
    </row>
    <row r="43" spans="1:3" x14ac:dyDescent="0.25">
      <c r="A43" s="459" t="s">
        <v>1323</v>
      </c>
      <c r="B43" s="427"/>
      <c r="C43" s="428" t="s">
        <v>1437</v>
      </c>
    </row>
    <row r="44" spans="1:3" x14ac:dyDescent="0.25">
      <c r="A44" s="459" t="s">
        <v>500</v>
      </c>
      <c r="B44" s="427"/>
      <c r="C44" s="428" t="s">
        <v>1436</v>
      </c>
    </row>
    <row r="45" spans="1:3" x14ac:dyDescent="0.25">
      <c r="A45" s="459" t="s">
        <v>1324</v>
      </c>
      <c r="B45" s="427"/>
      <c r="C45" s="428" t="s">
        <v>1436</v>
      </c>
    </row>
    <row r="46" spans="1:3" x14ac:dyDescent="0.25">
      <c r="A46" s="454"/>
      <c r="B46" s="430"/>
      <c r="C46" s="428"/>
    </row>
    <row r="47" spans="1:3" ht="15.75" thickBot="1" x14ac:dyDescent="0.3">
      <c r="A47" s="460" t="s">
        <v>506</v>
      </c>
      <c r="B47" s="430"/>
      <c r="C47" s="428"/>
    </row>
    <row r="48" spans="1:3" ht="15.75" thickTop="1" x14ac:dyDescent="0.25">
      <c r="A48" s="461" t="s">
        <v>197</v>
      </c>
      <c r="B48" s="431"/>
      <c r="C48" s="480" t="s">
        <v>658</v>
      </c>
    </row>
    <row r="49" spans="1:3" ht="15.75" thickBot="1" x14ac:dyDescent="0.3">
      <c r="A49" s="462" t="s">
        <v>70</v>
      </c>
      <c r="B49" s="432"/>
      <c r="C49" s="481" t="s">
        <v>641</v>
      </c>
    </row>
    <row r="50" spans="1:3" ht="15.75" thickTop="1" x14ac:dyDescent="0.25">
      <c r="A50" s="463" t="s">
        <v>198</v>
      </c>
      <c r="B50" s="426"/>
      <c r="C50" s="478" t="s">
        <v>659</v>
      </c>
    </row>
    <row r="51" spans="1:3" ht="15.75" thickBot="1" x14ac:dyDescent="0.3">
      <c r="A51" s="462" t="s">
        <v>71</v>
      </c>
      <c r="B51" s="432"/>
      <c r="C51" s="481" t="s">
        <v>642</v>
      </c>
    </row>
    <row r="52" spans="1:3" ht="15.75" thickTop="1" x14ac:dyDescent="0.25">
      <c r="A52" s="463" t="s">
        <v>199</v>
      </c>
      <c r="B52" s="426"/>
      <c r="C52" s="478" t="s">
        <v>660</v>
      </c>
    </row>
    <row r="53" spans="1:3" ht="15.75" thickBot="1" x14ac:dyDescent="0.3">
      <c r="A53" s="464" t="s">
        <v>598</v>
      </c>
      <c r="B53" s="427"/>
      <c r="C53" s="440" t="s">
        <v>643</v>
      </c>
    </row>
    <row r="54" spans="1:3" ht="16.5" thickTop="1" thickBot="1" x14ac:dyDescent="0.3">
      <c r="A54" s="465" t="s">
        <v>211</v>
      </c>
      <c r="B54" s="433"/>
      <c r="C54" s="482" t="s">
        <v>661</v>
      </c>
    </row>
    <row r="55" spans="1:3" ht="15.75" thickTop="1" x14ac:dyDescent="0.25">
      <c r="A55" s="466" t="s">
        <v>520</v>
      </c>
      <c r="B55" s="434"/>
      <c r="C55" s="443" t="s">
        <v>662</v>
      </c>
    </row>
    <row r="56" spans="1:3" ht="15.75" thickBot="1" x14ac:dyDescent="0.3">
      <c r="A56" s="467" t="s">
        <v>519</v>
      </c>
      <c r="B56" s="435"/>
      <c r="C56" s="481" t="s">
        <v>665</v>
      </c>
    </row>
    <row r="57" spans="1:3" ht="15.75" thickTop="1" x14ac:dyDescent="0.25">
      <c r="A57" s="466" t="s">
        <v>200</v>
      </c>
      <c r="B57" s="426"/>
      <c r="C57" s="443" t="s">
        <v>663</v>
      </c>
    </row>
    <row r="58" spans="1:3" ht="15.75" thickBot="1" x14ac:dyDescent="0.3">
      <c r="A58" s="467" t="s">
        <v>447</v>
      </c>
      <c r="B58" s="435"/>
      <c r="C58" s="481" t="s">
        <v>644</v>
      </c>
    </row>
    <row r="59" spans="1:3" ht="15.75" thickTop="1" x14ac:dyDescent="0.25">
      <c r="A59" s="468" t="s">
        <v>507</v>
      </c>
      <c r="B59" s="436"/>
      <c r="C59" s="478" t="s">
        <v>659</v>
      </c>
    </row>
    <row r="60" spans="1:3" ht="15.75" thickBot="1" x14ac:dyDescent="0.3">
      <c r="A60" s="464" t="s">
        <v>508</v>
      </c>
      <c r="B60" s="437"/>
      <c r="C60" s="440" t="s">
        <v>645</v>
      </c>
    </row>
    <row r="61" spans="1:3" ht="15.75" thickTop="1" x14ac:dyDescent="0.25">
      <c r="A61" s="469" t="s">
        <v>511</v>
      </c>
      <c r="B61" s="438"/>
      <c r="C61" s="480" t="s">
        <v>208</v>
      </c>
    </row>
    <row r="62" spans="1:3" ht="30" x14ac:dyDescent="0.25">
      <c r="A62" s="464" t="s">
        <v>1252</v>
      </c>
      <c r="B62" s="439"/>
      <c r="C62" s="440" t="s">
        <v>206</v>
      </c>
    </row>
    <row r="63" spans="1:3" x14ac:dyDescent="0.25">
      <c r="A63" s="464" t="s">
        <v>201</v>
      </c>
      <c r="B63" s="439"/>
      <c r="C63" s="440" t="s">
        <v>207</v>
      </c>
    </row>
    <row r="64" spans="1:3" x14ac:dyDescent="0.25">
      <c r="A64" s="464" t="s">
        <v>450</v>
      </c>
      <c r="B64" s="439"/>
      <c r="C64" s="440" t="s">
        <v>397</v>
      </c>
    </row>
    <row r="65" spans="1:3" x14ac:dyDescent="0.25">
      <c r="A65" s="464" t="s">
        <v>202</v>
      </c>
      <c r="B65" s="439"/>
      <c r="C65" s="440" t="s">
        <v>83</v>
      </c>
    </row>
    <row r="66" spans="1:3" x14ac:dyDescent="0.25">
      <c r="A66" s="464" t="s">
        <v>209</v>
      </c>
      <c r="B66" s="439"/>
      <c r="C66" s="440" t="s">
        <v>296</v>
      </c>
    </row>
    <row r="67" spans="1:3" x14ac:dyDescent="0.25">
      <c r="A67" s="464" t="s">
        <v>210</v>
      </c>
      <c r="B67" s="439"/>
      <c r="C67" s="440" t="s">
        <v>39</v>
      </c>
    </row>
    <row r="68" spans="1:3" x14ac:dyDescent="0.25">
      <c r="A68" s="464" t="s">
        <v>509</v>
      </c>
      <c r="B68" s="439"/>
      <c r="C68" s="440" t="s">
        <v>512</v>
      </c>
    </row>
    <row r="69" spans="1:3" x14ac:dyDescent="0.25">
      <c r="A69" s="464" t="s">
        <v>1138</v>
      </c>
      <c r="B69" s="439"/>
      <c r="C69" s="440" t="s">
        <v>1139</v>
      </c>
    </row>
    <row r="70" spans="1:3" x14ac:dyDescent="0.25">
      <c r="A70" s="419" t="s">
        <v>1092</v>
      </c>
      <c r="B70" s="405"/>
      <c r="C70" s="231" t="s">
        <v>1095</v>
      </c>
    </row>
    <row r="71" spans="1:3" x14ac:dyDescent="0.25">
      <c r="A71" s="419" t="s">
        <v>1093</v>
      </c>
      <c r="B71" s="405"/>
      <c r="C71" s="231" t="s">
        <v>1096</v>
      </c>
    </row>
    <row r="72" spans="1:3" x14ac:dyDescent="0.25">
      <c r="A72" s="419" t="s">
        <v>1094</v>
      </c>
      <c r="B72" s="405"/>
      <c r="C72" s="231" t="s">
        <v>1096</v>
      </c>
    </row>
    <row r="73" spans="1:3" x14ac:dyDescent="0.25">
      <c r="A73" s="464"/>
      <c r="B73" s="440"/>
      <c r="C73" s="440"/>
    </row>
    <row r="74" spans="1:3" x14ac:dyDescent="0.25">
      <c r="A74" s="460" t="s">
        <v>562</v>
      </c>
      <c r="B74" s="440"/>
      <c r="C74" s="440"/>
    </row>
    <row r="75" spans="1:3" x14ac:dyDescent="0.25">
      <c r="A75" s="464" t="s">
        <v>203</v>
      </c>
      <c r="B75" s="441"/>
      <c r="C75" s="483" t="s">
        <v>175</v>
      </c>
    </row>
    <row r="76" spans="1:3" x14ac:dyDescent="0.25">
      <c r="A76" s="464" t="s">
        <v>204</v>
      </c>
      <c r="B76" s="439"/>
      <c r="C76" s="440" t="s">
        <v>205</v>
      </c>
    </row>
    <row r="77" spans="1:3" x14ac:dyDescent="0.25">
      <c r="A77" s="464" t="s">
        <v>501</v>
      </c>
      <c r="B77" s="439"/>
      <c r="C77" s="440" t="s">
        <v>664</v>
      </c>
    </row>
    <row r="78" spans="1:3" x14ac:dyDescent="0.25">
      <c r="A78" s="464" t="s">
        <v>559</v>
      </c>
      <c r="B78" s="439"/>
      <c r="C78" s="440" t="s">
        <v>561</v>
      </c>
    </row>
    <row r="79" spans="1:3" x14ac:dyDescent="0.25">
      <c r="A79" s="464" t="s">
        <v>560</v>
      </c>
      <c r="B79" s="439"/>
      <c r="C79" s="440" t="s">
        <v>656</v>
      </c>
    </row>
    <row r="80" spans="1:3" x14ac:dyDescent="0.25">
      <c r="A80" s="464"/>
      <c r="B80" s="439"/>
      <c r="C80" s="440"/>
    </row>
    <row r="81" spans="1:3" ht="45" x14ac:dyDescent="0.25">
      <c r="A81" s="470" t="s">
        <v>1435</v>
      </c>
      <c r="B81" s="439"/>
      <c r="C81" s="484" t="s">
        <v>983</v>
      </c>
    </row>
    <row r="82" spans="1:3" x14ac:dyDescent="0.25">
      <c r="A82" s="464" t="s">
        <v>1456</v>
      </c>
      <c r="B82" s="439"/>
      <c r="C82" s="440" t="s">
        <v>981</v>
      </c>
    </row>
    <row r="83" spans="1:3" x14ac:dyDescent="0.25">
      <c r="A83" s="464" t="s">
        <v>1457</v>
      </c>
      <c r="B83" s="439"/>
      <c r="C83" s="440" t="s">
        <v>982</v>
      </c>
    </row>
    <row r="84" spans="1:3" x14ac:dyDescent="0.25">
      <c r="A84" s="459"/>
      <c r="B84" s="439"/>
      <c r="C84" s="440"/>
    </row>
    <row r="85" spans="1:3" x14ac:dyDescent="0.25">
      <c r="A85" s="460" t="s">
        <v>212</v>
      </c>
      <c r="B85" s="440"/>
      <c r="C85" s="440"/>
    </row>
    <row r="86" spans="1:3" x14ac:dyDescent="0.25">
      <c r="A86" s="464" t="s">
        <v>510</v>
      </c>
      <c r="B86" s="439"/>
      <c r="C86" s="440" t="s">
        <v>213</v>
      </c>
    </row>
    <row r="87" spans="1:3" x14ac:dyDescent="0.25">
      <c r="A87" s="464"/>
      <c r="B87" s="439"/>
      <c r="C87" s="440"/>
    </row>
    <row r="88" spans="1:3" x14ac:dyDescent="0.25">
      <c r="A88" s="460" t="s">
        <v>984</v>
      </c>
      <c r="B88" s="440"/>
      <c r="C88" s="440"/>
    </row>
    <row r="89" spans="1:3" x14ac:dyDescent="0.25">
      <c r="A89" s="464" t="s">
        <v>240</v>
      </c>
      <c r="B89" s="439"/>
      <c r="C89" s="440" t="s">
        <v>241</v>
      </c>
    </row>
    <row r="90" spans="1:3" x14ac:dyDescent="0.25">
      <c r="A90" s="459"/>
      <c r="B90" s="427"/>
      <c r="C90" s="428"/>
    </row>
    <row r="91" spans="1:3" x14ac:dyDescent="0.25">
      <c r="A91" s="460" t="s">
        <v>965</v>
      </c>
      <c r="B91" s="427"/>
      <c r="C91" s="428"/>
    </row>
    <row r="92" spans="1:3" x14ac:dyDescent="0.25">
      <c r="A92" s="459" t="s">
        <v>966</v>
      </c>
      <c r="B92" s="427"/>
      <c r="C92" s="428" t="s">
        <v>967</v>
      </c>
    </row>
    <row r="93" spans="1:3" x14ac:dyDescent="0.25">
      <c r="A93" s="459" t="s">
        <v>968</v>
      </c>
      <c r="B93" s="427"/>
      <c r="C93" s="428">
        <v>4999999</v>
      </c>
    </row>
    <row r="94" spans="1:3" x14ac:dyDescent="0.25">
      <c r="A94" s="459" t="s">
        <v>969</v>
      </c>
      <c r="B94" s="427"/>
      <c r="C94" s="428">
        <v>7</v>
      </c>
    </row>
    <row r="95" spans="1:3" x14ac:dyDescent="0.25">
      <c r="A95" s="459" t="s">
        <v>970</v>
      </c>
      <c r="B95" s="427"/>
      <c r="C95" s="428">
        <v>7</v>
      </c>
    </row>
    <row r="96" spans="1:3" ht="15.75" thickBot="1" x14ac:dyDescent="0.3">
      <c r="A96" s="471"/>
      <c r="B96" s="442"/>
      <c r="C96" s="442"/>
    </row>
    <row r="97" spans="1:4" ht="15.75" thickTop="1" x14ac:dyDescent="0.25">
      <c r="A97" s="453" t="s">
        <v>647</v>
      </c>
      <c r="B97" s="443"/>
      <c r="C97" s="443"/>
    </row>
    <row r="98" spans="1:4" ht="15.75" thickBot="1" x14ac:dyDescent="0.3">
      <c r="A98" s="588" t="s">
        <v>1111</v>
      </c>
      <c r="B98" s="589"/>
      <c r="C98" s="590"/>
    </row>
    <row r="99" spans="1:4" ht="15.75" thickTop="1" x14ac:dyDescent="0.25">
      <c r="A99" s="591" t="s">
        <v>1050</v>
      </c>
      <c r="B99" s="592"/>
      <c r="C99" s="593"/>
    </row>
    <row r="100" spans="1:4" x14ac:dyDescent="0.25">
      <c r="A100" s="454" t="s">
        <v>650</v>
      </c>
      <c r="B100" s="444" t="s">
        <v>1857</v>
      </c>
      <c r="C100" s="439" t="str">
        <f>B100</f>
        <v>CMME0000175</v>
      </c>
    </row>
    <row r="101" spans="1:4" x14ac:dyDescent="0.25">
      <c r="A101" s="454" t="s">
        <v>1254</v>
      </c>
      <c r="B101" s="444" t="str">
        <f>CONCATENATE("Midsize_Ent-",ME_VER, "-1.iso")</f>
        <v>Midsize_Ent-6.2.2.1.2120-1.iso</v>
      </c>
      <c r="C101" s="439" t="str">
        <f>CONCATENATE("Midsize_Ent-",ME_VER, "-1.iso")</f>
        <v>Midsize_Ent-6.2.2.1.2120-1.iso</v>
      </c>
    </row>
    <row r="102" spans="1:4" x14ac:dyDescent="0.25">
      <c r="A102" s="454"/>
      <c r="B102" s="445"/>
      <c r="C102" s="440"/>
    </row>
    <row r="103" spans="1:4" x14ac:dyDescent="0.25">
      <c r="A103" s="454" t="s">
        <v>651</v>
      </c>
      <c r="B103" s="444" t="s">
        <v>1858</v>
      </c>
      <c r="C103" s="439" t="str">
        <f>B103</f>
        <v>CMME0000176</v>
      </c>
    </row>
    <row r="104" spans="1:4" x14ac:dyDescent="0.25">
      <c r="A104" s="454" t="s">
        <v>1255</v>
      </c>
      <c r="B104" s="444" t="str">
        <f>CONCATENATE("Midsize_Ent-",ME_VER, "-2.iso")</f>
        <v>Midsize_Ent-6.2.2.1.2120-2.iso</v>
      </c>
      <c r="C104" s="439" t="str">
        <f>CONCATENATE("Midsize_Ent-",ME_VER, "-2.iso")</f>
        <v>Midsize_Ent-6.2.2.1.2120-2.iso</v>
      </c>
      <c r="D104" s="239" t="s">
        <v>1458</v>
      </c>
    </row>
    <row r="105" spans="1:4" x14ac:dyDescent="0.25">
      <c r="A105" s="454"/>
      <c r="B105" s="445"/>
      <c r="C105" s="440"/>
    </row>
    <row r="106" spans="1:4" x14ac:dyDescent="0.25">
      <c r="A106" s="454" t="s">
        <v>652</v>
      </c>
      <c r="B106" s="444" t="s">
        <v>1859</v>
      </c>
      <c r="C106" s="439" t="str">
        <f>B106</f>
        <v>CMME0000177</v>
      </c>
    </row>
    <row r="107" spans="1:4" x14ac:dyDescent="0.25">
      <c r="A107" s="454" t="s">
        <v>1256</v>
      </c>
      <c r="B107" s="444" t="str">
        <f>CONCATENATE("Midsize_Ent-",ME_VER, "-3.iso")</f>
        <v>Midsize_Ent-6.2.2.1.2120-3.iso</v>
      </c>
      <c r="C107" s="439" t="str">
        <f>CONCATENATE("Midsize_Ent-",ME_VER, "-3.iso")</f>
        <v>Midsize_Ent-6.2.2.1.2120-3.iso</v>
      </c>
    </row>
    <row r="108" spans="1:4" x14ac:dyDescent="0.25">
      <c r="A108" s="460"/>
      <c r="B108" s="445"/>
      <c r="C108" s="440"/>
    </row>
    <row r="109" spans="1:4" x14ac:dyDescent="0.25">
      <c r="A109" s="455" t="s">
        <v>1110</v>
      </c>
      <c r="B109" s="444" t="s">
        <v>1468</v>
      </c>
      <c r="C109" s="439" t="str">
        <f>B109</f>
        <v>CMME0000093</v>
      </c>
    </row>
    <row r="110" spans="1:4" x14ac:dyDescent="0.25">
      <c r="A110" s="455" t="s">
        <v>1257</v>
      </c>
      <c r="B110" s="444" t="s">
        <v>1467</v>
      </c>
      <c r="C110" s="439" t="str">
        <f>B110</f>
        <v>SP_Pre-Installation_Wizard_7527.exe</v>
      </c>
    </row>
    <row r="111" spans="1:4" ht="15.75" thickBot="1" x14ac:dyDescent="0.3">
      <c r="A111" s="472"/>
      <c r="B111" s="446"/>
      <c r="C111" s="442"/>
    </row>
    <row r="112" spans="1:4" ht="15.75" thickTop="1" x14ac:dyDescent="0.25">
      <c r="A112" s="591" t="s">
        <v>871</v>
      </c>
      <c r="B112" s="592"/>
      <c r="C112" s="593"/>
    </row>
    <row r="113" spans="1:3" x14ac:dyDescent="0.25">
      <c r="A113" s="473" t="s">
        <v>648</v>
      </c>
      <c r="B113" s="447" t="s">
        <v>1860</v>
      </c>
      <c r="C113" s="439" t="str">
        <f>B113</f>
        <v>CMME0000178</v>
      </c>
    </row>
    <row r="114" spans="1:3" x14ac:dyDescent="0.25">
      <c r="A114" s="455" t="s">
        <v>649</v>
      </c>
      <c r="B114" s="445" t="str">
        <f>CONCATENATE("vsp-",SP_VER_FP4_ISO,".iso")</f>
        <v>vsp-6.3.7.0.05001.iso</v>
      </c>
      <c r="C114" s="440" t="str">
        <f>B114</f>
        <v>vsp-6.3.7.0.05001.iso</v>
      </c>
    </row>
    <row r="115" spans="1:3" x14ac:dyDescent="0.25">
      <c r="A115" s="455"/>
      <c r="B115" s="445"/>
      <c r="C115" s="440"/>
    </row>
    <row r="116" spans="1:3" ht="30" x14ac:dyDescent="0.25">
      <c r="A116" s="455" t="s">
        <v>1855</v>
      </c>
      <c r="B116" s="447" t="s">
        <v>1912</v>
      </c>
      <c r="C116" s="485" t="str">
        <f>B116</f>
        <v>CMME0000213</v>
      </c>
    </row>
    <row r="117" spans="1:3" ht="30" x14ac:dyDescent="0.25">
      <c r="A117" s="455" t="s">
        <v>1856</v>
      </c>
      <c r="B117" s="448" t="s">
        <v>1913</v>
      </c>
      <c r="C117" s="439" t="str">
        <f>B117</f>
        <v>vsp-patch-6.3.8.01002.0.noarch.rpm</v>
      </c>
    </row>
    <row r="118" spans="1:3" x14ac:dyDescent="0.25">
      <c r="A118" s="456"/>
      <c r="B118" s="448"/>
      <c r="C118" s="427"/>
    </row>
    <row r="119" spans="1:3" x14ac:dyDescent="0.25">
      <c r="A119" s="456" t="s">
        <v>1914</v>
      </c>
      <c r="B119" s="448" t="s">
        <v>1633</v>
      </c>
      <c r="C119" s="427" t="str">
        <f>B119</f>
        <v>CMME0000102</v>
      </c>
    </row>
    <row r="120" spans="1:3" x14ac:dyDescent="0.25">
      <c r="A120" s="456" t="s">
        <v>1915</v>
      </c>
      <c r="B120" s="449" t="s">
        <v>1555</v>
      </c>
      <c r="C120" s="439" t="str">
        <f>B120</f>
        <v>Services_VM-3.0.0.0.11.iso</v>
      </c>
    </row>
    <row r="121" spans="1:3" x14ac:dyDescent="0.25">
      <c r="A121" s="456"/>
      <c r="B121" s="448"/>
      <c r="C121" s="427"/>
    </row>
    <row r="122" spans="1:3" ht="30" x14ac:dyDescent="0.25">
      <c r="A122" s="456" t="s">
        <v>1861</v>
      </c>
      <c r="B122" s="448" t="s">
        <v>1862</v>
      </c>
      <c r="C122" s="427" t="str">
        <f>B122</f>
        <v>CMME0000196</v>
      </c>
    </row>
    <row r="123" spans="1:3" ht="30" x14ac:dyDescent="0.25">
      <c r="A123" s="456" t="s">
        <v>1863</v>
      </c>
      <c r="B123" s="448" t="s">
        <v>1864</v>
      </c>
      <c r="C123" s="427" t="str">
        <f>B123</f>
        <v>ServicesVM-3.0.1-1.zip</v>
      </c>
    </row>
    <row r="124" spans="1:3" x14ac:dyDescent="0.25">
      <c r="A124" s="456"/>
      <c r="B124" s="617"/>
      <c r="C124" s="427"/>
    </row>
    <row r="125" spans="1:3" x14ac:dyDescent="0.25">
      <c r="A125" s="456" t="s">
        <v>1916</v>
      </c>
      <c r="B125" s="617" t="s">
        <v>1917</v>
      </c>
      <c r="C125" s="427" t="str">
        <f>B125</f>
        <v>CMME0000214</v>
      </c>
    </row>
    <row r="126" spans="1:3" x14ac:dyDescent="0.25">
      <c r="A126" s="456" t="s">
        <v>1918</v>
      </c>
      <c r="B126" s="617" t="s">
        <v>1919</v>
      </c>
      <c r="C126" s="427" t="str">
        <f>B126</f>
        <v>svm_sanity_1.0.1.bsx</v>
      </c>
    </row>
    <row r="127" spans="1:3" ht="15.75" thickBot="1" x14ac:dyDescent="0.3">
      <c r="A127" s="456"/>
      <c r="B127" s="430"/>
      <c r="C127" s="428"/>
    </row>
    <row r="128" spans="1:3" ht="15.75" thickTop="1" x14ac:dyDescent="0.25">
      <c r="A128" s="594" t="s">
        <v>872</v>
      </c>
      <c r="B128" s="595"/>
      <c r="C128" s="596"/>
    </row>
    <row r="129" spans="1:3" x14ac:dyDescent="0.25">
      <c r="A129" s="474" t="s">
        <v>1920</v>
      </c>
      <c r="B129" s="450"/>
      <c r="C129" s="450"/>
    </row>
    <row r="130" spans="1:3" x14ac:dyDescent="0.25">
      <c r="A130" s="455" t="s">
        <v>1810</v>
      </c>
      <c r="B130" s="444" t="s">
        <v>1783</v>
      </c>
      <c r="C130" s="439" t="str">
        <f>B130</f>
        <v>CMME0000144</v>
      </c>
    </row>
    <row r="131" spans="1:3" x14ac:dyDescent="0.25">
      <c r="A131" s="455" t="s">
        <v>1811</v>
      </c>
      <c r="B131" s="444" t="s">
        <v>1781</v>
      </c>
      <c r="C131" s="439" t="str">
        <f>B131</f>
        <v>aesvcs-6.3.3.0.10-1-featurepack.zip</v>
      </c>
    </row>
    <row r="132" spans="1:3" x14ac:dyDescent="0.25">
      <c r="A132" s="455"/>
      <c r="B132" s="444"/>
      <c r="C132" s="439"/>
    </row>
    <row r="133" spans="1:3" x14ac:dyDescent="0.25">
      <c r="A133" s="455" t="s">
        <v>1809</v>
      </c>
      <c r="B133" s="444" t="s">
        <v>1784</v>
      </c>
      <c r="C133" s="439" t="str">
        <f>B133</f>
        <v>CMME0000146</v>
      </c>
    </row>
    <row r="134" spans="1:3" x14ac:dyDescent="0.25">
      <c r="A134" s="455" t="s">
        <v>1808</v>
      </c>
      <c r="B134" s="444" t="s">
        <v>1782</v>
      </c>
      <c r="C134" s="439" t="str">
        <f>B134</f>
        <v>2014.06.18-LSU-Patch-RHEL5U10.bin</v>
      </c>
    </row>
    <row r="135" spans="1:3" x14ac:dyDescent="0.25">
      <c r="A135" s="455"/>
      <c r="B135" s="444"/>
      <c r="C135" s="439"/>
    </row>
    <row r="136" spans="1:3" x14ac:dyDescent="0.25">
      <c r="A136" s="455" t="s">
        <v>1865</v>
      </c>
      <c r="B136" s="444" t="s">
        <v>1866</v>
      </c>
      <c r="C136" s="439" t="str">
        <f>B136</f>
        <v>CMME0000198</v>
      </c>
    </row>
    <row r="137" spans="1:3" x14ac:dyDescent="0.25">
      <c r="A137" s="455" t="s">
        <v>1867</v>
      </c>
      <c r="B137" s="444" t="s">
        <v>1868</v>
      </c>
      <c r="C137" s="439" t="str">
        <f>B137</f>
        <v>633_LSUPatch3.bin</v>
      </c>
    </row>
    <row r="138" spans="1:3" x14ac:dyDescent="0.25">
      <c r="A138" s="455"/>
      <c r="B138" s="444"/>
      <c r="C138" s="439"/>
    </row>
    <row r="139" spans="1:3" x14ac:dyDescent="0.25">
      <c r="A139" s="455" t="s">
        <v>1869</v>
      </c>
      <c r="B139" s="444" t="s">
        <v>1871</v>
      </c>
      <c r="C139" s="439" t="str">
        <f>B139</f>
        <v>CMME0000199</v>
      </c>
    </row>
    <row r="140" spans="1:3" x14ac:dyDescent="0.25">
      <c r="A140" s="455" t="s">
        <v>1870</v>
      </c>
      <c r="B140" s="444" t="s">
        <v>1872</v>
      </c>
      <c r="C140" s="439" t="str">
        <f>B140</f>
        <v>633_SuperPatch_5.zip</v>
      </c>
    </row>
    <row r="141" spans="1:3" x14ac:dyDescent="0.25">
      <c r="A141" s="455"/>
      <c r="B141" s="444"/>
      <c r="C141" s="439"/>
    </row>
    <row r="142" spans="1:3" ht="15" customHeight="1" x14ac:dyDescent="0.25">
      <c r="A142" s="455" t="s">
        <v>1873</v>
      </c>
      <c r="B142" s="444" t="s">
        <v>1874</v>
      </c>
      <c r="C142" s="439" t="str">
        <f>B142</f>
        <v>CMME0000197</v>
      </c>
    </row>
    <row r="143" spans="1:3" x14ac:dyDescent="0.25">
      <c r="A143" s="455" t="s">
        <v>1875</v>
      </c>
      <c r="B143" s="444" t="s">
        <v>1876</v>
      </c>
      <c r="C143" s="439" t="str">
        <f>B143</f>
        <v>aesvcs_bash_patch.bin</v>
      </c>
    </row>
    <row r="144" spans="1:3" x14ac:dyDescent="0.25">
      <c r="A144" s="455"/>
      <c r="B144" s="444"/>
      <c r="C144" s="439"/>
    </row>
    <row r="145" spans="1:4" x14ac:dyDescent="0.25">
      <c r="A145" s="474" t="s">
        <v>1921</v>
      </c>
      <c r="B145" s="444"/>
      <c r="C145" s="439"/>
    </row>
    <row r="146" spans="1:4" x14ac:dyDescent="0.25">
      <c r="A146" s="455" t="s">
        <v>1927</v>
      </c>
      <c r="B146" s="444" t="s">
        <v>1930</v>
      </c>
      <c r="C146" s="439" t="str">
        <f>B146</f>
        <v>CMME0000216</v>
      </c>
    </row>
    <row r="147" spans="1:4" x14ac:dyDescent="0.25">
      <c r="A147" s="455" t="s">
        <v>1928</v>
      </c>
      <c r="B147" s="444" t="s">
        <v>1929</v>
      </c>
      <c r="C147" s="439" t="str">
        <f>B147</f>
        <v>03.0.141.0-22901.tar</v>
      </c>
    </row>
    <row r="148" spans="1:4" x14ac:dyDescent="0.25">
      <c r="A148" s="455"/>
      <c r="B148" s="444"/>
      <c r="C148" s="439"/>
    </row>
    <row r="149" spans="1:4" x14ac:dyDescent="0.25">
      <c r="A149" s="455" t="s">
        <v>1935</v>
      </c>
      <c r="B149" s="444" t="s">
        <v>1931</v>
      </c>
      <c r="C149" s="439" t="str">
        <f>B149</f>
        <v>CMME0000218</v>
      </c>
      <c r="D149" s="241" t="s">
        <v>1</v>
      </c>
    </row>
    <row r="150" spans="1:4" x14ac:dyDescent="0.25">
      <c r="A150" s="455" t="s">
        <v>1936</v>
      </c>
      <c r="B150" s="444" t="s">
        <v>1932</v>
      </c>
      <c r="C150" s="439" t="str">
        <f>B150</f>
        <v>KERNEL-2.6.18-406.AV1.tar</v>
      </c>
    </row>
    <row r="151" spans="1:4" x14ac:dyDescent="0.25">
      <c r="A151" s="455"/>
      <c r="B151" s="444"/>
      <c r="C151" s="439"/>
    </row>
    <row r="152" spans="1:4" x14ac:dyDescent="0.25">
      <c r="A152" s="455" t="s">
        <v>1937</v>
      </c>
      <c r="B152" s="444" t="s">
        <v>1933</v>
      </c>
      <c r="C152" s="439" t="str">
        <f>B152</f>
        <v>CMME0000217</v>
      </c>
    </row>
    <row r="153" spans="1:4" x14ac:dyDescent="0.25">
      <c r="A153" s="455" t="s">
        <v>1812</v>
      </c>
      <c r="B153" s="444" t="s">
        <v>1934</v>
      </c>
      <c r="C153" s="439" t="str">
        <f>B153</f>
        <v>PLAT-rhel5.3-3020.tar</v>
      </c>
    </row>
    <row r="154" spans="1:4" x14ac:dyDescent="0.25">
      <c r="A154" s="455"/>
      <c r="B154" s="445"/>
      <c r="C154" s="440"/>
    </row>
    <row r="155" spans="1:4" x14ac:dyDescent="0.25">
      <c r="A155" s="474" t="s">
        <v>1922</v>
      </c>
      <c r="B155" s="445"/>
      <c r="C155" s="440"/>
    </row>
    <row r="156" spans="1:4" x14ac:dyDescent="0.25">
      <c r="A156" s="455" t="s">
        <v>1879</v>
      </c>
      <c r="B156" s="444" t="s">
        <v>1878</v>
      </c>
      <c r="C156" s="439" t="str">
        <f>B156</f>
        <v>CMME0000203</v>
      </c>
    </row>
    <row r="157" spans="1:4" x14ac:dyDescent="0.25">
      <c r="A157" s="455" t="s">
        <v>1880</v>
      </c>
      <c r="B157" s="444" t="s">
        <v>1877</v>
      </c>
      <c r="C157" s="439" t="str">
        <f>B157</f>
        <v>CMM-03.0.141.0-0600.tar</v>
      </c>
    </row>
    <row r="158" spans="1:4" x14ac:dyDescent="0.25">
      <c r="A158" s="455"/>
      <c r="B158" s="445"/>
      <c r="C158" s="440"/>
    </row>
    <row r="159" spans="1:4" x14ac:dyDescent="0.25">
      <c r="A159" s="475" t="s">
        <v>1923</v>
      </c>
      <c r="B159" s="445"/>
      <c r="C159" s="440"/>
    </row>
    <row r="160" spans="1:4" x14ac:dyDescent="0.25">
      <c r="A160" s="455" t="s">
        <v>1814</v>
      </c>
      <c r="B160" s="444" t="s">
        <v>1821</v>
      </c>
      <c r="C160" s="439" t="str">
        <f>B160</f>
        <v>CMME0000124</v>
      </c>
    </row>
    <row r="161" spans="1:3" x14ac:dyDescent="0.25">
      <c r="A161" s="455" t="s">
        <v>1813</v>
      </c>
      <c r="B161" s="445" t="s">
        <v>1815</v>
      </c>
      <c r="C161" s="439" t="str">
        <f>B161</f>
        <v>PS-6.2.0.2-182.zip</v>
      </c>
    </row>
    <row r="162" spans="1:3" x14ac:dyDescent="0.25">
      <c r="A162" s="475"/>
      <c r="B162" s="445"/>
      <c r="C162" s="440"/>
    </row>
    <row r="163" spans="1:3" x14ac:dyDescent="0.25">
      <c r="A163" s="455" t="s">
        <v>1816</v>
      </c>
      <c r="B163" s="444" t="s">
        <v>1822</v>
      </c>
      <c r="C163" s="439" t="str">
        <f>B163</f>
        <v>CMME0000125</v>
      </c>
    </row>
    <row r="164" spans="1:3" x14ac:dyDescent="0.25">
      <c r="A164" s="455" t="s">
        <v>1817</v>
      </c>
      <c r="B164" s="445" t="s">
        <v>1818</v>
      </c>
      <c r="C164" s="439" t="str">
        <f>B164</f>
        <v>PS-6.2.1.99-201.zip</v>
      </c>
    </row>
    <row r="165" spans="1:3" x14ac:dyDescent="0.25">
      <c r="A165" s="475"/>
      <c r="B165" s="445"/>
      <c r="C165" s="440"/>
    </row>
    <row r="166" spans="1:3" x14ac:dyDescent="0.25">
      <c r="A166" s="455" t="s">
        <v>1938</v>
      </c>
      <c r="B166" s="444" t="s">
        <v>1939</v>
      </c>
      <c r="C166" s="439" t="str">
        <f>B166</f>
        <v>CMME0000219</v>
      </c>
    </row>
    <row r="167" spans="1:3" x14ac:dyDescent="0.25">
      <c r="A167" s="455" t="s">
        <v>1940</v>
      </c>
      <c r="B167" s="444" t="s">
        <v>1941</v>
      </c>
      <c r="C167" s="439" t="str">
        <f>B167</f>
        <v>PS-6.2.7.0-58.zip</v>
      </c>
    </row>
    <row r="168" spans="1:3" x14ac:dyDescent="0.25">
      <c r="A168" s="455"/>
      <c r="B168" s="444"/>
      <c r="C168" s="439"/>
    </row>
    <row r="169" spans="1:3" x14ac:dyDescent="0.25">
      <c r="A169" s="455" t="s">
        <v>1942</v>
      </c>
      <c r="B169" s="444" t="s">
        <v>1943</v>
      </c>
      <c r="C169" s="439" t="str">
        <f>B169</f>
        <v>CMME0000220</v>
      </c>
    </row>
    <row r="170" spans="1:3" x14ac:dyDescent="0.25">
      <c r="A170" s="455" t="s">
        <v>1944</v>
      </c>
      <c r="B170" s="444" t="s">
        <v>1945</v>
      </c>
      <c r="C170" s="439" t="str">
        <f>B170</f>
        <v>PS-6.2.7.1-58.zip</v>
      </c>
    </row>
    <row r="171" spans="1:3" x14ac:dyDescent="0.25">
      <c r="A171" s="455"/>
      <c r="B171" s="444"/>
      <c r="C171" s="439"/>
    </row>
    <row r="172" spans="1:3" ht="15" customHeight="1" x14ac:dyDescent="0.25">
      <c r="A172" s="475" t="s">
        <v>1924</v>
      </c>
      <c r="B172" s="444"/>
      <c r="C172" s="439"/>
    </row>
    <row r="173" spans="1:3" x14ac:dyDescent="0.25">
      <c r="A173" s="455" t="s">
        <v>1948</v>
      </c>
      <c r="B173" s="444" t="s">
        <v>1946</v>
      </c>
      <c r="C173" s="439" t="str">
        <f>B173</f>
        <v>CMME0000221</v>
      </c>
    </row>
    <row r="174" spans="1:3" x14ac:dyDescent="0.25">
      <c r="A174" s="455" t="s">
        <v>1949</v>
      </c>
      <c r="B174" s="444" t="s">
        <v>1947</v>
      </c>
      <c r="C174" s="439" t="str">
        <f>B174</f>
        <v>asm-6.3.17.0.631705-installer.iso</v>
      </c>
    </row>
    <row r="175" spans="1:3" x14ac:dyDescent="0.25">
      <c r="A175" s="455"/>
      <c r="B175" s="444"/>
      <c r="C175" s="439"/>
    </row>
    <row r="176" spans="1:3" x14ac:dyDescent="0.25">
      <c r="A176" s="388" t="s">
        <v>1925</v>
      </c>
      <c r="B176" s="445"/>
      <c r="C176" s="440"/>
    </row>
    <row r="177" spans="1:3" x14ac:dyDescent="0.25">
      <c r="A177" s="455" t="s">
        <v>1952</v>
      </c>
      <c r="B177" s="444" t="s">
        <v>1950</v>
      </c>
      <c r="C177" s="439" t="str">
        <f>B177</f>
        <v>CMME0000222</v>
      </c>
    </row>
    <row r="178" spans="1:3" x14ac:dyDescent="0.25">
      <c r="A178" s="455" t="s">
        <v>1953</v>
      </c>
      <c r="B178" s="444" t="s">
        <v>1951</v>
      </c>
      <c r="C178" s="439" t="str">
        <f>B178</f>
        <v>System_Manager_6.3.17_r5404616.bin</v>
      </c>
    </row>
    <row r="179" spans="1:3" x14ac:dyDescent="0.25">
      <c r="A179" s="455"/>
      <c r="B179" s="444"/>
      <c r="C179" s="439"/>
    </row>
    <row r="180" spans="1:3" x14ac:dyDescent="0.25">
      <c r="A180" s="455" t="s">
        <v>1819</v>
      </c>
      <c r="B180" s="444" t="s">
        <v>1724</v>
      </c>
      <c r="C180" s="439" t="str">
        <f>B180</f>
        <v>CMME0000137</v>
      </c>
    </row>
    <row r="181" spans="1:3" x14ac:dyDescent="0.25">
      <c r="A181" s="455" t="s">
        <v>1820</v>
      </c>
      <c r="B181" s="444" t="s">
        <v>1723</v>
      </c>
      <c r="C181" s="439" t="str">
        <f>B181</f>
        <v>smgr-patch-plugin-updater-1.0.bin</v>
      </c>
    </row>
    <row r="182" spans="1:3" x14ac:dyDescent="0.25">
      <c r="A182" s="455"/>
      <c r="B182" s="444"/>
      <c r="C182" s="439"/>
    </row>
    <row r="183" spans="1:3" x14ac:dyDescent="0.25">
      <c r="A183" s="475" t="s">
        <v>1926</v>
      </c>
      <c r="B183" s="444"/>
      <c r="C183" s="439"/>
    </row>
    <row r="184" spans="1:3" x14ac:dyDescent="0.25">
      <c r="A184" s="476" t="s">
        <v>1956</v>
      </c>
      <c r="B184" s="444" t="s">
        <v>1954</v>
      </c>
      <c r="C184" s="439" t="str">
        <f>B184</f>
        <v>CMME0000223</v>
      </c>
    </row>
    <row r="185" spans="1:3" x14ac:dyDescent="0.25">
      <c r="A185" s="476" t="s">
        <v>1957</v>
      </c>
      <c r="B185" s="444" t="s">
        <v>1955</v>
      </c>
      <c r="C185" s="439" t="str">
        <f>B185</f>
        <v>util_patch_6.3.13.0.20.zip</v>
      </c>
    </row>
    <row r="186" spans="1:3" x14ac:dyDescent="0.25">
      <c r="A186" s="476"/>
      <c r="B186" s="444"/>
      <c r="C186" s="439"/>
    </row>
    <row r="187" spans="1:3" x14ac:dyDescent="0.25">
      <c r="A187" s="476" t="s">
        <v>1881</v>
      </c>
      <c r="B187" s="444" t="s">
        <v>1788</v>
      </c>
      <c r="C187" s="439" t="str">
        <f>B187</f>
        <v>CMME0000120</v>
      </c>
    </row>
    <row r="188" spans="1:3" x14ac:dyDescent="0.25">
      <c r="A188" s="476" t="s">
        <v>1882</v>
      </c>
      <c r="B188" s="444" t="s">
        <v>1789</v>
      </c>
      <c r="C188" s="439" t="str">
        <f>B188</f>
        <v>util_patch_6.3.0.4.20.zip</v>
      </c>
    </row>
    <row r="189" spans="1:3" x14ac:dyDescent="0.25">
      <c r="A189" s="476"/>
      <c r="B189" s="444"/>
      <c r="C189" s="439"/>
    </row>
    <row r="190" spans="1:3" x14ac:dyDescent="0.25">
      <c r="A190" s="476" t="s">
        <v>1883</v>
      </c>
      <c r="B190" s="444" t="s">
        <v>1884</v>
      </c>
      <c r="C190" s="439" t="str">
        <f>B190</f>
        <v>CMME0000212</v>
      </c>
    </row>
    <row r="191" spans="1:3" x14ac:dyDescent="0.25">
      <c r="A191" s="476" t="s">
        <v>1885</v>
      </c>
      <c r="B191" s="444" t="s">
        <v>1886</v>
      </c>
      <c r="C191" s="439" t="str">
        <f>B191</f>
        <v>util_patch_6.3.0.7.20.zip</v>
      </c>
    </row>
    <row r="192" spans="1:3" x14ac:dyDescent="0.25">
      <c r="A192" s="476"/>
      <c r="B192" s="444"/>
      <c r="C192" s="439"/>
    </row>
    <row r="193" spans="1:3" x14ac:dyDescent="0.25">
      <c r="A193" s="476" t="s">
        <v>1958</v>
      </c>
      <c r="B193" s="444" t="s">
        <v>1959</v>
      </c>
      <c r="C193" s="439" t="str">
        <f>B193</f>
        <v>CMME0000224</v>
      </c>
    </row>
    <row r="194" spans="1:3" x14ac:dyDescent="0.25">
      <c r="A194" s="476" t="s">
        <v>1960</v>
      </c>
      <c r="B194" s="444" t="s">
        <v>1961</v>
      </c>
      <c r="C194" s="439" t="str">
        <f>B194</f>
        <v>util_patch_6.3.0.9.20.zip</v>
      </c>
    </row>
    <row r="195" spans="1:3" x14ac:dyDescent="0.25">
      <c r="A195" s="476"/>
      <c r="B195" s="444"/>
      <c r="C195" s="439"/>
    </row>
  </sheetData>
  <sheetProtection sheet="1" objects="1" scenarios="1"/>
  <protectedRanges>
    <protectedRange sqref="B70:B72" name="Range1"/>
  </protectedRanges>
  <dataConsolidate/>
  <mergeCells count="4">
    <mergeCell ref="A98:C98"/>
    <mergeCell ref="A99:C99"/>
    <mergeCell ref="A112:C112"/>
    <mergeCell ref="A128:C128"/>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workbookViewId="0">
      <pane ySplit="1" topLeftCell="A51" activePane="bottomLeft" state="frozen"/>
      <selection activeCell="C89" sqref="C89"/>
      <selection pane="bottomLeft" activeCell="B52" sqref="B52"/>
    </sheetView>
  </sheetViews>
  <sheetFormatPr defaultRowHeight="15" x14ac:dyDescent="0.25"/>
  <cols>
    <col min="1" max="1" width="57.7109375" customWidth="1"/>
    <col min="2" max="2" width="30.85546875" style="1" customWidth="1"/>
    <col min="3" max="3" width="40.5703125" style="1" customWidth="1"/>
    <col min="4" max="4" width="36.5703125" style="1" customWidth="1"/>
  </cols>
  <sheetData>
    <row r="1" spans="1:4" ht="15.75" thickBot="1" x14ac:dyDescent="0.3">
      <c r="A1" s="42" t="s">
        <v>11</v>
      </c>
      <c r="B1" s="43" t="s">
        <v>3</v>
      </c>
      <c r="C1" s="43" t="s">
        <v>193</v>
      </c>
      <c r="D1" s="43" t="s">
        <v>122</v>
      </c>
    </row>
    <row r="2" spans="1:4" ht="15.75" thickTop="1" x14ac:dyDescent="0.25">
      <c r="A2" s="15" t="s">
        <v>888</v>
      </c>
      <c r="B2" s="14"/>
      <c r="C2" s="14"/>
      <c r="D2" s="47"/>
    </row>
    <row r="3" spans="1:4" x14ac:dyDescent="0.25">
      <c r="A3" s="5" t="s">
        <v>226</v>
      </c>
      <c r="B3" s="6" t="s">
        <v>219</v>
      </c>
      <c r="C3" s="75" t="str">
        <f>CONCATENATE("https://",SMGRIP,"/SMGR")</f>
        <v>https:///SMGR</v>
      </c>
      <c r="D3" s="22"/>
    </row>
    <row r="4" spans="1:4" x14ac:dyDescent="0.25">
      <c r="A4" s="5" t="s">
        <v>237</v>
      </c>
      <c r="B4" s="6" t="s">
        <v>42</v>
      </c>
      <c r="C4" s="19" t="s">
        <v>376</v>
      </c>
      <c r="D4" s="12"/>
    </row>
    <row r="5" spans="1:4" x14ac:dyDescent="0.25">
      <c r="A5" s="13" t="s">
        <v>876</v>
      </c>
      <c r="B5" s="6" t="s">
        <v>873</v>
      </c>
      <c r="C5" s="19" t="s">
        <v>874</v>
      </c>
      <c r="D5" s="12"/>
    </row>
    <row r="6" spans="1:4" x14ac:dyDescent="0.25">
      <c r="A6" s="156" t="s">
        <v>875</v>
      </c>
      <c r="B6" s="41" t="s">
        <v>115</v>
      </c>
      <c r="C6" s="226">
        <f>SMHOSTNAME</f>
        <v>0</v>
      </c>
      <c r="D6" s="59"/>
    </row>
    <row r="7" spans="1:4" x14ac:dyDescent="0.25">
      <c r="A7" s="156" t="s">
        <v>877</v>
      </c>
      <c r="B7" s="41" t="s">
        <v>878</v>
      </c>
      <c r="C7" s="58" t="s">
        <v>879</v>
      </c>
      <c r="D7" s="59"/>
    </row>
    <row r="8" spans="1:4" x14ac:dyDescent="0.25">
      <c r="A8" s="156" t="s">
        <v>880</v>
      </c>
      <c r="B8" s="41" t="s">
        <v>47</v>
      </c>
      <c r="C8" s="58">
        <v>5060</v>
      </c>
      <c r="D8" s="59"/>
    </row>
    <row r="9" spans="1:4" x14ac:dyDescent="0.25">
      <c r="A9" s="156" t="s">
        <v>883</v>
      </c>
      <c r="B9" s="41" t="s">
        <v>881</v>
      </c>
      <c r="C9" s="58" t="s">
        <v>882</v>
      </c>
      <c r="D9" s="59"/>
    </row>
    <row r="10" spans="1:4" ht="30" x14ac:dyDescent="0.25">
      <c r="A10" s="156" t="s">
        <v>884</v>
      </c>
      <c r="B10" s="59" t="s">
        <v>885</v>
      </c>
      <c r="C10" s="210">
        <f>SIPDOMAIN</f>
        <v>0</v>
      </c>
      <c r="D10" s="59"/>
    </row>
    <row r="11" spans="1:4" x14ac:dyDescent="0.25">
      <c r="A11" s="156" t="s">
        <v>887</v>
      </c>
      <c r="B11" s="41" t="s">
        <v>117</v>
      </c>
      <c r="C11" s="58" t="s">
        <v>277</v>
      </c>
      <c r="D11" s="59"/>
    </row>
    <row r="12" spans="1:4" x14ac:dyDescent="0.25">
      <c r="A12" s="13"/>
      <c r="B12" s="6"/>
      <c r="C12" s="6"/>
      <c r="D12" s="12"/>
    </row>
    <row r="13" spans="1:4" x14ac:dyDescent="0.25">
      <c r="A13" s="15" t="s">
        <v>895</v>
      </c>
      <c r="B13" s="14"/>
      <c r="C13" s="14"/>
      <c r="D13" s="47"/>
    </row>
    <row r="14" spans="1:4" x14ac:dyDescent="0.25">
      <c r="A14" s="13" t="s">
        <v>876</v>
      </c>
      <c r="B14" s="6" t="s">
        <v>873</v>
      </c>
      <c r="C14" s="19" t="s">
        <v>874</v>
      </c>
      <c r="D14" s="59"/>
    </row>
    <row r="15" spans="1:4" x14ac:dyDescent="0.25">
      <c r="A15" s="156" t="s">
        <v>891</v>
      </c>
      <c r="B15" s="41" t="s">
        <v>889</v>
      </c>
      <c r="C15" s="58" t="s">
        <v>890</v>
      </c>
      <c r="D15" s="59"/>
    </row>
    <row r="16" spans="1:4" x14ac:dyDescent="0.25">
      <c r="A16" s="156" t="s">
        <v>892</v>
      </c>
      <c r="B16" s="41" t="s">
        <v>893</v>
      </c>
      <c r="C16" s="58" t="s">
        <v>894</v>
      </c>
      <c r="D16" s="59"/>
    </row>
    <row r="17" spans="1:4" x14ac:dyDescent="0.25">
      <c r="A17" s="156" t="s">
        <v>2010</v>
      </c>
      <c r="B17" s="41" t="s">
        <v>896</v>
      </c>
      <c r="C17" s="207">
        <f>BRIDGEIPADDR</f>
        <v>0</v>
      </c>
      <c r="D17" s="59"/>
    </row>
    <row r="18" spans="1:4" x14ac:dyDescent="0.25">
      <c r="A18" s="156" t="s">
        <v>897</v>
      </c>
      <c r="B18" s="41" t="s">
        <v>118</v>
      </c>
      <c r="C18" s="58" t="s">
        <v>269</v>
      </c>
      <c r="D18" s="59"/>
    </row>
    <row r="19" spans="1:4" x14ac:dyDescent="0.25">
      <c r="A19" s="156" t="s">
        <v>898</v>
      </c>
      <c r="B19" s="41" t="s">
        <v>899</v>
      </c>
      <c r="C19" s="207">
        <f>LOCATIONNAME</f>
        <v>0</v>
      </c>
      <c r="D19" s="59"/>
    </row>
    <row r="20" spans="1:4" x14ac:dyDescent="0.25">
      <c r="A20" s="156" t="s">
        <v>900</v>
      </c>
      <c r="B20" s="41" t="s">
        <v>150</v>
      </c>
      <c r="C20" s="207">
        <f>USERTIMEZONE</f>
        <v>0</v>
      </c>
      <c r="D20" s="59"/>
    </row>
    <row r="21" spans="1:4" x14ac:dyDescent="0.25">
      <c r="A21" s="156" t="s">
        <v>887</v>
      </c>
      <c r="B21" s="41" t="s">
        <v>117</v>
      </c>
      <c r="C21" s="58" t="s">
        <v>277</v>
      </c>
      <c r="D21" s="59"/>
    </row>
    <row r="22" spans="1:4" x14ac:dyDescent="0.25">
      <c r="A22" s="13"/>
      <c r="B22" s="41"/>
      <c r="C22" s="58"/>
      <c r="D22" s="59"/>
    </row>
    <row r="23" spans="1:4" x14ac:dyDescent="0.25">
      <c r="A23" s="15" t="s">
        <v>916</v>
      </c>
      <c r="B23" s="41"/>
      <c r="C23" s="58"/>
      <c r="D23" s="59"/>
    </row>
    <row r="24" spans="1:4" x14ac:dyDescent="0.25">
      <c r="A24" s="13" t="s">
        <v>901</v>
      </c>
      <c r="B24" s="6" t="s">
        <v>903</v>
      </c>
      <c r="C24" s="19" t="s">
        <v>902</v>
      </c>
      <c r="D24" s="59"/>
    </row>
    <row r="25" spans="1:4" x14ac:dyDescent="0.25">
      <c r="A25" s="156" t="s">
        <v>904</v>
      </c>
      <c r="B25" s="41" t="s">
        <v>889</v>
      </c>
      <c r="C25" s="58" t="s">
        <v>890</v>
      </c>
      <c r="D25" s="59"/>
    </row>
    <row r="26" spans="1:4" x14ac:dyDescent="0.25">
      <c r="A26" s="156" t="s">
        <v>905</v>
      </c>
      <c r="B26" s="41" t="s">
        <v>115</v>
      </c>
      <c r="C26" s="58" t="s">
        <v>906</v>
      </c>
      <c r="D26" s="59"/>
    </row>
    <row r="27" spans="1:4" x14ac:dyDescent="0.25">
      <c r="A27" s="156" t="s">
        <v>907</v>
      </c>
      <c r="B27" s="41" t="s">
        <v>908</v>
      </c>
      <c r="C27" s="226">
        <f>SMHOSTNAME</f>
        <v>0</v>
      </c>
      <c r="D27" s="59"/>
    </row>
    <row r="28" spans="1:4" x14ac:dyDescent="0.25">
      <c r="A28" s="156" t="s">
        <v>910</v>
      </c>
      <c r="B28" s="41" t="s">
        <v>881</v>
      </c>
      <c r="C28" s="58" t="s">
        <v>882</v>
      </c>
      <c r="D28" s="59"/>
    </row>
    <row r="29" spans="1:4" x14ac:dyDescent="0.25">
      <c r="A29" s="156" t="s">
        <v>915</v>
      </c>
      <c r="B29" s="41" t="s">
        <v>47</v>
      </c>
      <c r="C29" s="58">
        <v>5060</v>
      </c>
      <c r="D29" s="59"/>
    </row>
    <row r="30" spans="1:4" x14ac:dyDescent="0.25">
      <c r="A30" s="156" t="s">
        <v>909</v>
      </c>
      <c r="B30" s="41" t="s">
        <v>911</v>
      </c>
      <c r="C30" s="58" t="s">
        <v>894</v>
      </c>
      <c r="D30" s="59"/>
    </row>
    <row r="31" spans="1:4" x14ac:dyDescent="0.25">
      <c r="A31" s="156" t="s">
        <v>915</v>
      </c>
      <c r="B31" s="41" t="s">
        <v>47</v>
      </c>
      <c r="C31" s="58">
        <v>5060</v>
      </c>
      <c r="D31" s="59"/>
    </row>
    <row r="32" spans="1:4" x14ac:dyDescent="0.25">
      <c r="A32" s="156" t="s">
        <v>914</v>
      </c>
      <c r="B32" s="41" t="s">
        <v>912</v>
      </c>
      <c r="C32" s="58" t="s">
        <v>913</v>
      </c>
      <c r="D32" s="59"/>
    </row>
    <row r="33" spans="1:4" x14ac:dyDescent="0.25">
      <c r="A33" s="156" t="s">
        <v>887</v>
      </c>
      <c r="B33" s="41" t="s">
        <v>117</v>
      </c>
      <c r="C33" s="58" t="s">
        <v>277</v>
      </c>
      <c r="D33" s="59"/>
    </row>
    <row r="34" spans="1:4" x14ac:dyDescent="0.25">
      <c r="A34" s="13"/>
      <c r="B34" s="41"/>
      <c r="C34" s="58"/>
      <c r="D34" s="59"/>
    </row>
    <row r="35" spans="1:4" x14ac:dyDescent="0.25">
      <c r="A35" s="15" t="s">
        <v>917</v>
      </c>
      <c r="B35" s="41"/>
      <c r="C35" s="58"/>
      <c r="D35" s="59"/>
    </row>
    <row r="36" spans="1:4" x14ac:dyDescent="0.25">
      <c r="A36" s="13" t="s">
        <v>901</v>
      </c>
      <c r="B36" s="6" t="s">
        <v>903</v>
      </c>
      <c r="C36" s="19" t="s">
        <v>902</v>
      </c>
      <c r="D36" s="59"/>
    </row>
    <row r="37" spans="1:4" x14ac:dyDescent="0.25">
      <c r="A37" s="156" t="s">
        <v>904</v>
      </c>
      <c r="B37" s="41" t="s">
        <v>889</v>
      </c>
      <c r="C37" s="58" t="s">
        <v>890</v>
      </c>
      <c r="D37" s="59"/>
    </row>
    <row r="38" spans="1:4" x14ac:dyDescent="0.25">
      <c r="A38" s="156" t="s">
        <v>905</v>
      </c>
      <c r="B38" s="41" t="s">
        <v>115</v>
      </c>
      <c r="C38" s="58" t="s">
        <v>918</v>
      </c>
      <c r="D38" s="59"/>
    </row>
    <row r="39" spans="1:4" x14ac:dyDescent="0.25">
      <c r="A39" s="156" t="s">
        <v>907</v>
      </c>
      <c r="B39" s="41" t="s">
        <v>908</v>
      </c>
      <c r="C39" s="226">
        <f>SMHOSTNAME</f>
        <v>0</v>
      </c>
      <c r="D39" s="59"/>
    </row>
    <row r="40" spans="1:4" x14ac:dyDescent="0.25">
      <c r="A40" s="156" t="s">
        <v>910</v>
      </c>
      <c r="B40" s="41" t="s">
        <v>881</v>
      </c>
      <c r="C40" s="58" t="s">
        <v>919</v>
      </c>
      <c r="D40" s="59"/>
    </row>
    <row r="41" spans="1:4" x14ac:dyDescent="0.25">
      <c r="A41" s="156" t="s">
        <v>915</v>
      </c>
      <c r="B41" s="41" t="s">
        <v>47</v>
      </c>
      <c r="C41" s="58">
        <v>5060</v>
      </c>
      <c r="D41" s="59"/>
    </row>
    <row r="42" spans="1:4" x14ac:dyDescent="0.25">
      <c r="A42" s="156" t="s">
        <v>909</v>
      </c>
      <c r="B42" s="41" t="s">
        <v>911</v>
      </c>
      <c r="C42" s="58" t="s">
        <v>894</v>
      </c>
      <c r="D42" s="59"/>
    </row>
    <row r="43" spans="1:4" x14ac:dyDescent="0.25">
      <c r="A43" s="156" t="s">
        <v>915</v>
      </c>
      <c r="B43" s="41" t="s">
        <v>47</v>
      </c>
      <c r="C43" s="58">
        <v>5060</v>
      </c>
      <c r="D43" s="59"/>
    </row>
    <row r="44" spans="1:4" x14ac:dyDescent="0.25">
      <c r="A44" s="156" t="s">
        <v>914</v>
      </c>
      <c r="B44" s="41" t="s">
        <v>912</v>
      </c>
      <c r="C44" s="58" t="s">
        <v>913</v>
      </c>
      <c r="D44" s="59"/>
    </row>
    <row r="45" spans="1:4" x14ac:dyDescent="0.25">
      <c r="A45" s="156" t="s">
        <v>887</v>
      </c>
      <c r="B45" s="41" t="s">
        <v>117</v>
      </c>
      <c r="C45" s="41" t="s">
        <v>277</v>
      </c>
      <c r="D45" s="59"/>
    </row>
    <row r="46" spans="1:4" x14ac:dyDescent="0.25">
      <c r="A46" s="13"/>
      <c r="B46" s="6"/>
      <c r="C46" s="6"/>
      <c r="D46" s="12"/>
    </row>
    <row r="47" spans="1:4" x14ac:dyDescent="0.25">
      <c r="A47" s="15" t="s">
        <v>971</v>
      </c>
      <c r="B47" s="14"/>
      <c r="C47" s="56"/>
      <c r="D47" s="22"/>
    </row>
    <row r="48" spans="1:4" x14ac:dyDescent="0.25">
      <c r="A48" s="13" t="s">
        <v>920</v>
      </c>
      <c r="B48" s="6" t="s">
        <v>921</v>
      </c>
      <c r="C48" s="19" t="s">
        <v>922</v>
      </c>
      <c r="D48" s="12"/>
    </row>
    <row r="49" spans="1:4" x14ac:dyDescent="0.25">
      <c r="A49" s="156" t="s">
        <v>923</v>
      </c>
      <c r="B49" s="41" t="s">
        <v>889</v>
      </c>
      <c r="C49" s="58" t="s">
        <v>890</v>
      </c>
      <c r="D49" s="59"/>
    </row>
    <row r="50" spans="1:4" ht="75" x14ac:dyDescent="0.25">
      <c r="A50" s="156" t="s">
        <v>925</v>
      </c>
      <c r="B50" s="198" t="s">
        <v>893</v>
      </c>
      <c r="C50" s="208" t="s">
        <v>924</v>
      </c>
      <c r="D50" s="59" t="s">
        <v>972</v>
      </c>
    </row>
    <row r="51" spans="1:4" x14ac:dyDescent="0.25">
      <c r="A51" s="156" t="s">
        <v>926</v>
      </c>
      <c r="B51" s="41" t="s">
        <v>927</v>
      </c>
      <c r="C51" s="58" t="s">
        <v>928</v>
      </c>
      <c r="D51" s="59"/>
    </row>
    <row r="52" spans="1:4" ht="30" x14ac:dyDescent="0.25">
      <c r="A52" s="156" t="s">
        <v>932</v>
      </c>
      <c r="B52" s="198" t="s">
        <v>929</v>
      </c>
      <c r="C52" s="208" t="s">
        <v>930</v>
      </c>
      <c r="D52" s="59"/>
    </row>
    <row r="53" spans="1:4" x14ac:dyDescent="0.25">
      <c r="A53" s="156" t="s">
        <v>732</v>
      </c>
      <c r="B53" s="41" t="s">
        <v>927</v>
      </c>
      <c r="C53" s="58" t="s">
        <v>928</v>
      </c>
      <c r="D53" s="59"/>
    </row>
    <row r="54" spans="1:4" x14ac:dyDescent="0.25">
      <c r="A54" s="156" t="s">
        <v>887</v>
      </c>
      <c r="B54" s="41" t="s">
        <v>117</v>
      </c>
      <c r="C54" s="58" t="s">
        <v>277</v>
      </c>
      <c r="D54" s="59"/>
    </row>
    <row r="55" spans="1:4" x14ac:dyDescent="0.25">
      <c r="A55" s="13"/>
      <c r="B55" s="41"/>
      <c r="C55" s="58"/>
      <c r="D55" s="59"/>
    </row>
    <row r="56" spans="1:4" x14ac:dyDescent="0.25">
      <c r="A56" s="15" t="s">
        <v>933</v>
      </c>
      <c r="B56" s="41"/>
      <c r="C56" s="58"/>
      <c r="D56" s="59"/>
    </row>
    <row r="57" spans="1:4" x14ac:dyDescent="0.25">
      <c r="A57" s="13" t="s">
        <v>951</v>
      </c>
      <c r="B57" s="6" t="s">
        <v>952</v>
      </c>
      <c r="C57" s="19" t="s">
        <v>953</v>
      </c>
      <c r="D57" s="59"/>
    </row>
    <row r="58" spans="1:4" x14ac:dyDescent="0.25">
      <c r="A58" s="156" t="s">
        <v>891</v>
      </c>
      <c r="B58" s="41" t="s">
        <v>889</v>
      </c>
      <c r="C58" s="58" t="s">
        <v>890</v>
      </c>
      <c r="D58" s="59"/>
    </row>
    <row r="59" spans="1:4" ht="105" x14ac:dyDescent="0.25">
      <c r="A59" s="156" t="s">
        <v>945</v>
      </c>
      <c r="B59" s="198" t="s">
        <v>940</v>
      </c>
      <c r="C59" s="209">
        <f>BRIDGEPILOTNUM</f>
        <v>0</v>
      </c>
      <c r="D59" s="59" t="s">
        <v>964</v>
      </c>
    </row>
    <row r="60" spans="1:4" x14ac:dyDescent="0.25">
      <c r="A60" s="156" t="s">
        <v>954</v>
      </c>
      <c r="B60" s="41" t="s">
        <v>955</v>
      </c>
      <c r="C60" s="207">
        <f>BRIDGEPILOTMIN</f>
        <v>0</v>
      </c>
      <c r="D60" s="59"/>
    </row>
    <row r="61" spans="1:4" x14ac:dyDescent="0.25">
      <c r="A61" s="156" t="s">
        <v>954</v>
      </c>
      <c r="B61" s="41" t="s">
        <v>956</v>
      </c>
      <c r="C61" s="207">
        <f>BRIDGEPILOTMAX</f>
        <v>0</v>
      </c>
      <c r="D61" s="59"/>
    </row>
    <row r="62" spans="1:4" x14ac:dyDescent="0.25">
      <c r="A62" s="156" t="s">
        <v>959</v>
      </c>
      <c r="B62" s="41" t="s">
        <v>957</v>
      </c>
      <c r="C62" s="58" t="s">
        <v>958</v>
      </c>
      <c r="D62" s="59"/>
    </row>
    <row r="63" spans="1:4" x14ac:dyDescent="0.25">
      <c r="A63" s="156" t="s">
        <v>960</v>
      </c>
      <c r="B63" s="41" t="s">
        <v>91</v>
      </c>
      <c r="C63" s="58" t="s">
        <v>879</v>
      </c>
      <c r="D63" s="59"/>
    </row>
    <row r="64" spans="1:4" ht="45" x14ac:dyDescent="0.25">
      <c r="A64" s="156" t="s">
        <v>961</v>
      </c>
      <c r="B64" s="59" t="s">
        <v>963</v>
      </c>
      <c r="C64" s="208" t="s">
        <v>420</v>
      </c>
      <c r="D64" s="59"/>
    </row>
    <row r="65" spans="1:4" x14ac:dyDescent="0.25">
      <c r="A65" s="156" t="s">
        <v>962</v>
      </c>
      <c r="B65" s="41" t="s">
        <v>947</v>
      </c>
      <c r="C65" s="58" t="s">
        <v>948</v>
      </c>
      <c r="D65" s="59"/>
    </row>
    <row r="66" spans="1:4" x14ac:dyDescent="0.25">
      <c r="A66" s="156" t="s">
        <v>931</v>
      </c>
      <c r="B66" s="41" t="s">
        <v>927</v>
      </c>
      <c r="C66" s="58" t="s">
        <v>928</v>
      </c>
      <c r="D66" s="59"/>
    </row>
    <row r="67" spans="1:4" x14ac:dyDescent="0.25">
      <c r="A67" s="156" t="s">
        <v>886</v>
      </c>
      <c r="B67" s="41" t="s">
        <v>117</v>
      </c>
      <c r="C67" s="58" t="s">
        <v>277</v>
      </c>
      <c r="D67" s="59"/>
    </row>
    <row r="68" spans="1:4" x14ac:dyDescent="0.25">
      <c r="A68" s="13"/>
      <c r="B68" s="41"/>
      <c r="C68" s="58"/>
      <c r="D68" s="59"/>
    </row>
    <row r="69" spans="1:4" x14ac:dyDescent="0.25">
      <c r="A69" s="15" t="s">
        <v>934</v>
      </c>
      <c r="B69" s="41"/>
      <c r="C69" s="58"/>
      <c r="D69" s="59"/>
    </row>
    <row r="70" spans="1:4" x14ac:dyDescent="0.25">
      <c r="A70" s="13" t="s">
        <v>937</v>
      </c>
      <c r="B70" s="6" t="s">
        <v>938</v>
      </c>
      <c r="C70" s="19" t="s">
        <v>939</v>
      </c>
      <c r="D70" s="59"/>
    </row>
    <row r="71" spans="1:4" x14ac:dyDescent="0.25">
      <c r="A71" s="156" t="s">
        <v>891</v>
      </c>
      <c r="B71" s="41" t="s">
        <v>889</v>
      </c>
      <c r="C71" s="58" t="s">
        <v>890</v>
      </c>
      <c r="D71" s="59"/>
    </row>
    <row r="72" spans="1:4" x14ac:dyDescent="0.25">
      <c r="A72" s="156" t="s">
        <v>945</v>
      </c>
      <c r="B72" s="41" t="s">
        <v>940</v>
      </c>
      <c r="C72" s="58" t="s">
        <v>941</v>
      </c>
      <c r="D72" s="59"/>
    </row>
    <row r="73" spans="1:4" x14ac:dyDescent="0.25">
      <c r="A73" s="156" t="s">
        <v>944</v>
      </c>
      <c r="B73" s="41" t="s">
        <v>942</v>
      </c>
      <c r="C73" s="58">
        <v>1</v>
      </c>
      <c r="D73" s="59"/>
    </row>
    <row r="74" spans="1:4" x14ac:dyDescent="0.25">
      <c r="A74" s="156" t="s">
        <v>943</v>
      </c>
      <c r="B74" s="41" t="s">
        <v>91</v>
      </c>
      <c r="C74" s="58" t="s">
        <v>879</v>
      </c>
      <c r="D74" s="59"/>
    </row>
    <row r="75" spans="1:4" x14ac:dyDescent="0.25">
      <c r="A75" s="156" t="s">
        <v>946</v>
      </c>
      <c r="B75" s="41" t="s">
        <v>947</v>
      </c>
      <c r="C75" s="58" t="s">
        <v>948</v>
      </c>
      <c r="D75" s="59"/>
    </row>
    <row r="76" spans="1:4" x14ac:dyDescent="0.25">
      <c r="A76" s="156" t="s">
        <v>732</v>
      </c>
      <c r="B76" s="41" t="s">
        <v>927</v>
      </c>
      <c r="C76" s="58" t="s">
        <v>928</v>
      </c>
      <c r="D76" s="59"/>
    </row>
    <row r="77" spans="1:4" x14ac:dyDescent="0.25">
      <c r="A77" s="156" t="s">
        <v>887</v>
      </c>
      <c r="B77" s="41" t="s">
        <v>117</v>
      </c>
      <c r="C77" s="58" t="s">
        <v>277</v>
      </c>
      <c r="D77" s="59"/>
    </row>
    <row r="78" spans="1:4" x14ac:dyDescent="0.25">
      <c r="A78" s="13"/>
      <c r="B78" s="41"/>
      <c r="C78" s="58"/>
      <c r="D78" s="59"/>
    </row>
    <row r="79" spans="1:4" x14ac:dyDescent="0.25">
      <c r="A79" s="15" t="s">
        <v>935</v>
      </c>
      <c r="B79" s="41"/>
      <c r="C79" s="58"/>
      <c r="D79" s="59"/>
    </row>
    <row r="80" spans="1:4" x14ac:dyDescent="0.25">
      <c r="A80" s="13" t="s">
        <v>937</v>
      </c>
      <c r="B80" s="6" t="s">
        <v>938</v>
      </c>
      <c r="C80" s="19" t="s">
        <v>939</v>
      </c>
      <c r="D80" s="59"/>
    </row>
    <row r="81" spans="1:4" x14ac:dyDescent="0.25">
      <c r="A81" s="156" t="s">
        <v>891</v>
      </c>
      <c r="B81" s="41" t="s">
        <v>889</v>
      </c>
      <c r="C81" s="58" t="s">
        <v>890</v>
      </c>
      <c r="D81" s="59"/>
    </row>
    <row r="82" spans="1:4" x14ac:dyDescent="0.25">
      <c r="A82" s="156" t="s">
        <v>945</v>
      </c>
      <c r="B82" s="41" t="s">
        <v>940</v>
      </c>
      <c r="C82" s="58" t="s">
        <v>949</v>
      </c>
      <c r="D82" s="59"/>
    </row>
    <row r="83" spans="1:4" x14ac:dyDescent="0.25">
      <c r="A83" s="156" t="s">
        <v>944</v>
      </c>
      <c r="B83" s="41" t="s">
        <v>942</v>
      </c>
      <c r="C83" s="58">
        <v>2</v>
      </c>
      <c r="D83" s="59"/>
    </row>
    <row r="84" spans="1:4" x14ac:dyDescent="0.25">
      <c r="A84" s="156" t="s">
        <v>943</v>
      </c>
      <c r="B84" s="41" t="s">
        <v>91</v>
      </c>
      <c r="C84" s="58" t="s">
        <v>879</v>
      </c>
      <c r="D84" s="59"/>
    </row>
    <row r="85" spans="1:4" x14ac:dyDescent="0.25">
      <c r="A85" s="156" t="s">
        <v>946</v>
      </c>
      <c r="B85" s="41" t="s">
        <v>947</v>
      </c>
      <c r="C85" s="58" t="s">
        <v>948</v>
      </c>
      <c r="D85" s="59"/>
    </row>
    <row r="86" spans="1:4" x14ac:dyDescent="0.25">
      <c r="A86" s="156" t="s">
        <v>732</v>
      </c>
      <c r="B86" s="41" t="s">
        <v>927</v>
      </c>
      <c r="C86" s="58" t="s">
        <v>928</v>
      </c>
      <c r="D86" s="59"/>
    </row>
    <row r="87" spans="1:4" x14ac:dyDescent="0.25">
      <c r="A87" s="156" t="s">
        <v>887</v>
      </c>
      <c r="B87" s="41" t="s">
        <v>117</v>
      </c>
      <c r="C87" s="58" t="s">
        <v>277</v>
      </c>
      <c r="D87" s="59"/>
    </row>
    <row r="88" spans="1:4" x14ac:dyDescent="0.25">
      <c r="A88" s="13"/>
      <c r="B88" s="41"/>
      <c r="C88" s="58"/>
      <c r="D88" s="59"/>
    </row>
    <row r="89" spans="1:4" x14ac:dyDescent="0.25">
      <c r="A89" s="15" t="s">
        <v>936</v>
      </c>
      <c r="B89" s="41"/>
      <c r="C89" s="58"/>
      <c r="D89" s="59"/>
    </row>
    <row r="90" spans="1:4" x14ac:dyDescent="0.25">
      <c r="A90" s="13" t="s">
        <v>937</v>
      </c>
      <c r="B90" s="6" t="s">
        <v>938</v>
      </c>
      <c r="C90" s="19" t="s">
        <v>939</v>
      </c>
      <c r="D90" s="59"/>
    </row>
    <row r="91" spans="1:4" x14ac:dyDescent="0.25">
      <c r="A91" s="156" t="s">
        <v>891</v>
      </c>
      <c r="B91" s="41" t="s">
        <v>889</v>
      </c>
      <c r="C91" s="58" t="s">
        <v>890</v>
      </c>
      <c r="D91" s="59"/>
    </row>
    <row r="92" spans="1:4" x14ac:dyDescent="0.25">
      <c r="A92" s="156" t="s">
        <v>945</v>
      </c>
      <c r="B92" s="41" t="s">
        <v>940</v>
      </c>
      <c r="C92" s="58" t="s">
        <v>950</v>
      </c>
      <c r="D92" s="59"/>
    </row>
    <row r="93" spans="1:4" x14ac:dyDescent="0.25">
      <c r="A93" s="156" t="s">
        <v>944</v>
      </c>
      <c r="B93" s="41" t="s">
        <v>942</v>
      </c>
      <c r="C93" s="58">
        <v>3</v>
      </c>
      <c r="D93" s="59"/>
    </row>
    <row r="94" spans="1:4" x14ac:dyDescent="0.25">
      <c r="A94" s="156" t="s">
        <v>943</v>
      </c>
      <c r="B94" s="41" t="s">
        <v>91</v>
      </c>
      <c r="C94" s="58" t="s">
        <v>879</v>
      </c>
      <c r="D94" s="59"/>
    </row>
    <row r="95" spans="1:4" x14ac:dyDescent="0.25">
      <c r="A95" s="156" t="s">
        <v>946</v>
      </c>
      <c r="B95" s="41" t="s">
        <v>947</v>
      </c>
      <c r="C95" s="58" t="s">
        <v>948</v>
      </c>
      <c r="D95" s="59"/>
    </row>
    <row r="96" spans="1:4" x14ac:dyDescent="0.25">
      <c r="A96" s="156" t="s">
        <v>732</v>
      </c>
      <c r="B96" s="41" t="s">
        <v>927</v>
      </c>
      <c r="C96" s="58" t="s">
        <v>928</v>
      </c>
      <c r="D96" s="59"/>
    </row>
    <row r="97" spans="1:4" x14ac:dyDescent="0.25">
      <c r="A97" s="156" t="s">
        <v>887</v>
      </c>
      <c r="B97" s="41" t="s">
        <v>117</v>
      </c>
      <c r="C97" s="58" t="s">
        <v>277</v>
      </c>
      <c r="D97" s="59"/>
    </row>
    <row r="98" spans="1:4" x14ac:dyDescent="0.25">
      <c r="A98" s="13"/>
      <c r="B98" s="6"/>
      <c r="C98" s="6"/>
      <c r="D98" s="12"/>
    </row>
  </sheetData>
  <sheetProtection sheet="1" objects="1" scenarios="1"/>
  <dataConsolidate/>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35"/>
  <sheetViews>
    <sheetView workbookViewId="0">
      <selection activeCell="C89" sqref="C89"/>
    </sheetView>
  </sheetViews>
  <sheetFormatPr defaultRowHeight="15" x14ac:dyDescent="0.25"/>
  <cols>
    <col min="1" max="1" width="27.28515625" customWidth="1"/>
    <col min="3" max="3" width="118.85546875" customWidth="1"/>
  </cols>
  <sheetData>
    <row r="1" spans="1:3" ht="15.75" thickBot="1" x14ac:dyDescent="0.3">
      <c r="A1" s="151" t="s">
        <v>352</v>
      </c>
      <c r="B1" s="151" t="s">
        <v>353</v>
      </c>
      <c r="C1" s="151" t="s">
        <v>354</v>
      </c>
    </row>
    <row r="2" spans="1:3" ht="15.75" thickTop="1" x14ac:dyDescent="0.25">
      <c r="A2" s="22"/>
      <c r="B2" s="200"/>
      <c r="C2" s="90"/>
    </row>
    <row r="3" spans="1:3" x14ac:dyDescent="0.25">
      <c r="A3" s="12"/>
      <c r="B3" s="201"/>
      <c r="C3" s="17"/>
    </row>
    <row r="4" spans="1:3" x14ac:dyDescent="0.25">
      <c r="A4" s="12"/>
      <c r="B4" s="201"/>
      <c r="C4" s="17"/>
    </row>
    <row r="5" spans="1:3" x14ac:dyDescent="0.25">
      <c r="A5" s="12"/>
      <c r="B5" s="201"/>
      <c r="C5" s="17"/>
    </row>
    <row r="6" spans="1:3" x14ac:dyDescent="0.25">
      <c r="A6" s="12"/>
      <c r="B6" s="201"/>
      <c r="C6" s="17"/>
    </row>
    <row r="7" spans="1:3" x14ac:dyDescent="0.25">
      <c r="A7" s="12"/>
      <c r="B7" s="201"/>
      <c r="C7" s="17"/>
    </row>
    <row r="8" spans="1:3" x14ac:dyDescent="0.25">
      <c r="A8" s="12"/>
      <c r="B8" s="201"/>
      <c r="C8" s="17"/>
    </row>
    <row r="9" spans="1:3" x14ac:dyDescent="0.25">
      <c r="A9" s="12"/>
      <c r="B9" s="201"/>
      <c r="C9" s="17"/>
    </row>
    <row r="10" spans="1:3" x14ac:dyDescent="0.25">
      <c r="A10" s="12"/>
      <c r="B10" s="201"/>
      <c r="C10" s="17"/>
    </row>
    <row r="11" spans="1:3" x14ac:dyDescent="0.25">
      <c r="A11" s="12"/>
      <c r="B11" s="201"/>
      <c r="C11" s="17"/>
    </row>
    <row r="12" spans="1:3" x14ac:dyDescent="0.25">
      <c r="A12" s="12"/>
      <c r="B12" s="201"/>
      <c r="C12" s="17"/>
    </row>
    <row r="13" spans="1:3" x14ac:dyDescent="0.25">
      <c r="A13" s="12"/>
      <c r="B13" s="201"/>
      <c r="C13" s="17"/>
    </row>
    <row r="14" spans="1:3" x14ac:dyDescent="0.25">
      <c r="A14" s="12"/>
      <c r="B14" s="201"/>
      <c r="C14" s="17"/>
    </row>
    <row r="15" spans="1:3" x14ac:dyDescent="0.25">
      <c r="A15" s="12"/>
      <c r="B15" s="201"/>
      <c r="C15" s="17"/>
    </row>
    <row r="16" spans="1:3" x14ac:dyDescent="0.25">
      <c r="A16" s="12"/>
      <c r="B16" s="201"/>
      <c r="C16" s="17"/>
    </row>
    <row r="17" spans="1:3" x14ac:dyDescent="0.25">
      <c r="A17" s="12"/>
      <c r="B17" s="201"/>
      <c r="C17" s="17"/>
    </row>
    <row r="18" spans="1:3" x14ac:dyDescent="0.25">
      <c r="A18" s="12"/>
      <c r="B18" s="201"/>
      <c r="C18" s="17"/>
    </row>
    <row r="19" spans="1:3" x14ac:dyDescent="0.25">
      <c r="A19" s="12"/>
      <c r="B19" s="201"/>
      <c r="C19" s="17"/>
    </row>
    <row r="20" spans="1:3" x14ac:dyDescent="0.25">
      <c r="A20" s="12"/>
      <c r="B20" s="201"/>
      <c r="C20" s="17"/>
    </row>
    <row r="21" spans="1:3" x14ac:dyDescent="0.25">
      <c r="A21" s="12"/>
      <c r="B21" s="201"/>
      <c r="C21" s="17"/>
    </row>
    <row r="22" spans="1:3" x14ac:dyDescent="0.25">
      <c r="A22" s="12"/>
      <c r="B22" s="201"/>
      <c r="C22" s="17"/>
    </row>
    <row r="23" spans="1:3" x14ac:dyDescent="0.25">
      <c r="A23" s="12"/>
      <c r="B23" s="201"/>
      <c r="C23" s="17"/>
    </row>
    <row r="24" spans="1:3" x14ac:dyDescent="0.25">
      <c r="A24" s="12"/>
      <c r="B24" s="201"/>
      <c r="C24" s="17"/>
    </row>
    <row r="25" spans="1:3" x14ac:dyDescent="0.25">
      <c r="A25" s="12"/>
      <c r="B25" s="201"/>
      <c r="C25" s="17"/>
    </row>
    <row r="26" spans="1:3" x14ac:dyDescent="0.25">
      <c r="A26" s="12"/>
      <c r="B26" s="201"/>
      <c r="C26" s="17"/>
    </row>
    <row r="27" spans="1:3" x14ac:dyDescent="0.25">
      <c r="A27" s="12"/>
      <c r="B27" s="199"/>
      <c r="C27" s="17"/>
    </row>
    <row r="28" spans="1:3" x14ac:dyDescent="0.25">
      <c r="A28" s="12"/>
      <c r="B28" s="199"/>
      <c r="C28" s="17"/>
    </row>
    <row r="29" spans="1:3" x14ac:dyDescent="0.25">
      <c r="A29" s="12"/>
      <c r="B29" s="199"/>
      <c r="C29" s="17"/>
    </row>
    <row r="30" spans="1:3" x14ac:dyDescent="0.25">
      <c r="A30" s="12"/>
      <c r="B30" s="199"/>
      <c r="C30" s="17"/>
    </row>
    <row r="31" spans="1:3" x14ac:dyDescent="0.25">
      <c r="A31" s="12"/>
      <c r="B31" s="199"/>
      <c r="C31" s="17"/>
    </row>
    <row r="32" spans="1:3" x14ac:dyDescent="0.25">
      <c r="A32" s="12"/>
      <c r="B32" s="199"/>
      <c r="C32" s="17"/>
    </row>
    <row r="33" spans="1:3" x14ac:dyDescent="0.25">
      <c r="A33" s="12"/>
      <c r="B33" s="199"/>
      <c r="C33" s="17"/>
    </row>
    <row r="34" spans="1:3" x14ac:dyDescent="0.25">
      <c r="A34" s="12"/>
      <c r="B34" s="199"/>
      <c r="C34" s="17"/>
    </row>
    <row r="35" spans="1:3" x14ac:dyDescent="0.25">
      <c r="A35" s="12"/>
      <c r="B35" s="29"/>
      <c r="C35" s="17"/>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9"/>
  <sheetViews>
    <sheetView zoomScaleNormal="100" workbookViewId="0">
      <pane ySplit="1" topLeftCell="A57" activePane="bottomLeft" state="frozen"/>
      <selection activeCell="C89" sqref="C89"/>
      <selection pane="bottomLeft" activeCell="D47" sqref="D47"/>
    </sheetView>
  </sheetViews>
  <sheetFormatPr defaultRowHeight="15" x14ac:dyDescent="0.25"/>
  <cols>
    <col min="1" max="1" width="55.140625" style="423" customWidth="1"/>
    <col min="2" max="2" width="25" style="404" customWidth="1"/>
    <col min="3" max="3" width="40.5703125" style="404" customWidth="1"/>
    <col min="4" max="4" width="36.7109375" style="498" customWidth="1"/>
  </cols>
  <sheetData>
    <row r="1" spans="1:4" ht="15.75" thickBot="1" x14ac:dyDescent="0.3">
      <c r="A1" s="408" t="s">
        <v>11</v>
      </c>
      <c r="B1" s="389" t="s">
        <v>3</v>
      </c>
      <c r="C1" s="389" t="s">
        <v>193</v>
      </c>
      <c r="D1" s="487" t="s">
        <v>122</v>
      </c>
    </row>
    <row r="2" spans="1:4" ht="210.75" thickTop="1" x14ac:dyDescent="0.25">
      <c r="A2" s="409" t="s">
        <v>703</v>
      </c>
      <c r="B2" s="390"/>
      <c r="C2" s="390"/>
      <c r="D2" s="488" t="s">
        <v>1224</v>
      </c>
    </row>
    <row r="3" spans="1:4" x14ac:dyDescent="0.25">
      <c r="A3" s="410" t="s">
        <v>666</v>
      </c>
      <c r="B3" s="405" t="s">
        <v>278</v>
      </c>
      <c r="C3" s="391" t="s">
        <v>486</v>
      </c>
      <c r="D3" s="368"/>
    </row>
    <row r="4" spans="1:4" ht="60" x14ac:dyDescent="0.25">
      <c r="A4" s="411" t="s">
        <v>668</v>
      </c>
      <c r="B4" s="403" t="s">
        <v>667</v>
      </c>
      <c r="C4" s="392" t="s">
        <v>691</v>
      </c>
      <c r="D4" s="489" t="s">
        <v>707</v>
      </c>
    </row>
    <row r="5" spans="1:4" x14ac:dyDescent="0.25">
      <c r="A5" s="411" t="s">
        <v>669</v>
      </c>
      <c r="B5" s="403" t="s">
        <v>78</v>
      </c>
      <c r="C5" s="392" t="s">
        <v>670</v>
      </c>
      <c r="D5" s="489"/>
    </row>
    <row r="6" spans="1:4" x14ac:dyDescent="0.25">
      <c r="A6" s="411" t="s">
        <v>673</v>
      </c>
      <c r="B6" s="403" t="s">
        <v>671</v>
      </c>
      <c r="C6" s="392" t="s">
        <v>672</v>
      </c>
      <c r="D6" s="489"/>
    </row>
    <row r="7" spans="1:4" x14ac:dyDescent="0.25">
      <c r="A7" s="411" t="s">
        <v>674</v>
      </c>
      <c r="B7" s="403" t="s">
        <v>675</v>
      </c>
      <c r="C7" s="392" t="s">
        <v>676</v>
      </c>
      <c r="D7" s="489"/>
    </row>
    <row r="8" spans="1:4" x14ac:dyDescent="0.25">
      <c r="A8" s="411" t="s">
        <v>708</v>
      </c>
      <c r="B8" s="403" t="s">
        <v>677</v>
      </c>
      <c r="C8" s="392" t="s">
        <v>706</v>
      </c>
      <c r="D8" s="489"/>
    </row>
    <row r="9" spans="1:4" x14ac:dyDescent="0.25">
      <c r="A9" s="411" t="s">
        <v>680</v>
      </c>
      <c r="B9" s="403" t="s">
        <v>678</v>
      </c>
      <c r="C9" s="392" t="s">
        <v>679</v>
      </c>
      <c r="D9" s="489"/>
    </row>
    <row r="10" spans="1:4" x14ac:dyDescent="0.25">
      <c r="A10" s="411" t="s">
        <v>681</v>
      </c>
      <c r="B10" s="403" t="s">
        <v>682</v>
      </c>
      <c r="C10" s="392" t="s">
        <v>683</v>
      </c>
      <c r="D10" s="489"/>
    </row>
    <row r="11" spans="1:4" ht="45" x14ac:dyDescent="0.25">
      <c r="A11" s="411" t="s">
        <v>684</v>
      </c>
      <c r="B11" s="403" t="s">
        <v>685</v>
      </c>
      <c r="C11" s="392" t="s">
        <v>686</v>
      </c>
      <c r="D11" s="489" t="s">
        <v>709</v>
      </c>
    </row>
    <row r="12" spans="1:4" ht="30" x14ac:dyDescent="0.25">
      <c r="A12" s="412" t="s">
        <v>1561</v>
      </c>
      <c r="B12" s="403"/>
      <c r="C12" s="392"/>
      <c r="D12" s="489"/>
    </row>
    <row r="13" spans="1:4" ht="90" x14ac:dyDescent="0.25">
      <c r="A13" s="411" t="s">
        <v>1559</v>
      </c>
      <c r="B13" s="403" t="s">
        <v>687</v>
      </c>
      <c r="C13" s="393" t="str">
        <f>SP_ISO_DNLDID</f>
        <v>CMME0000178</v>
      </c>
      <c r="D13" s="489" t="s">
        <v>1075</v>
      </c>
    </row>
    <row r="14" spans="1:4" x14ac:dyDescent="0.25">
      <c r="A14" s="411" t="s">
        <v>688</v>
      </c>
      <c r="B14" s="403" t="s">
        <v>689</v>
      </c>
      <c r="C14" s="392" t="s">
        <v>690</v>
      </c>
      <c r="D14" s="489"/>
    </row>
    <row r="15" spans="1:4" ht="30" x14ac:dyDescent="0.25">
      <c r="A15" s="411" t="s">
        <v>692</v>
      </c>
      <c r="B15" s="403" t="s">
        <v>693</v>
      </c>
      <c r="C15" s="392" t="s">
        <v>694</v>
      </c>
      <c r="D15" s="489"/>
    </row>
    <row r="16" spans="1:4" ht="75" x14ac:dyDescent="0.25">
      <c r="A16" s="411" t="s">
        <v>697</v>
      </c>
      <c r="B16" s="387" t="s">
        <v>695</v>
      </c>
      <c r="C16" s="392" t="s">
        <v>696</v>
      </c>
      <c r="D16" s="489" t="s">
        <v>698</v>
      </c>
    </row>
    <row r="17" spans="1:4" ht="60" x14ac:dyDescent="0.25">
      <c r="A17" s="413" t="s">
        <v>1069</v>
      </c>
      <c r="B17" s="387" t="s">
        <v>280</v>
      </c>
      <c r="C17" s="387" t="s">
        <v>1052</v>
      </c>
      <c r="D17" s="489" t="s">
        <v>279</v>
      </c>
    </row>
    <row r="18" spans="1:4" ht="30.75" thickBot="1" x14ac:dyDescent="0.3">
      <c r="A18" s="414" t="s">
        <v>704</v>
      </c>
      <c r="B18" s="394" t="s">
        <v>1</v>
      </c>
      <c r="C18" s="394" t="s">
        <v>705</v>
      </c>
      <c r="D18" s="490"/>
    </row>
    <row r="19" spans="1:4" ht="60.75" thickTop="1" x14ac:dyDescent="0.25">
      <c r="A19" s="415" t="s">
        <v>1560</v>
      </c>
      <c r="B19" s="401"/>
      <c r="C19" s="395"/>
      <c r="D19" s="491" t="s">
        <v>1731</v>
      </c>
    </row>
    <row r="20" spans="1:4" ht="30" x14ac:dyDescent="0.25">
      <c r="A20" s="413" t="s">
        <v>1070</v>
      </c>
      <c r="B20" s="403" t="s">
        <v>687</v>
      </c>
      <c r="C20" s="396" t="str">
        <f>ME_TEMPLATE_DNLDID_1</f>
        <v>CMME0000175</v>
      </c>
      <c r="D20" s="489"/>
    </row>
    <row r="21" spans="1:4" ht="30" x14ac:dyDescent="0.25">
      <c r="A21" s="413" t="s">
        <v>1071</v>
      </c>
      <c r="B21" s="403" t="s">
        <v>687</v>
      </c>
      <c r="C21" s="396" t="str">
        <f>ME_TEMPLATE_DNLDID_2</f>
        <v>CMME0000176</v>
      </c>
      <c r="D21" s="489"/>
    </row>
    <row r="22" spans="1:4" ht="30.75" thickBot="1" x14ac:dyDescent="0.3">
      <c r="A22" s="416" t="s">
        <v>1072</v>
      </c>
      <c r="B22" s="390" t="s">
        <v>687</v>
      </c>
      <c r="C22" s="397" t="str">
        <f>ME_TEMPLATE_DNLDID_3</f>
        <v>CMME0000177</v>
      </c>
      <c r="D22" s="492"/>
    </row>
    <row r="23" spans="1:4" ht="45.75" thickTop="1" x14ac:dyDescent="0.25">
      <c r="A23" s="415" t="s">
        <v>1732</v>
      </c>
      <c r="B23" s="401"/>
      <c r="C23" s="395"/>
      <c r="D23" s="491" t="s">
        <v>1074</v>
      </c>
    </row>
    <row r="24" spans="1:4" ht="30.75" thickBot="1" x14ac:dyDescent="0.3">
      <c r="A24" s="417" t="s">
        <v>1073</v>
      </c>
      <c r="B24" s="406" t="s">
        <v>687</v>
      </c>
      <c r="C24" s="398" t="str">
        <f>ME_WIZ_DNLDID</f>
        <v>CMME0000093</v>
      </c>
      <c r="D24" s="493"/>
    </row>
    <row r="25" spans="1:4" ht="45.75" thickTop="1" x14ac:dyDescent="0.25">
      <c r="A25" s="418" t="s">
        <v>1887</v>
      </c>
      <c r="B25" s="407"/>
      <c r="C25" s="399"/>
      <c r="D25" s="494" t="s">
        <v>1729</v>
      </c>
    </row>
    <row r="26" spans="1:4" ht="30" x14ac:dyDescent="0.25">
      <c r="A26" s="419" t="s">
        <v>1962</v>
      </c>
      <c r="B26" s="405" t="s">
        <v>1733</v>
      </c>
      <c r="C26" s="400" t="str">
        <f>SP_FP4_PATCH_DNLDID</f>
        <v>CMME0000213</v>
      </c>
      <c r="D26" s="368" t="s">
        <v>1730</v>
      </c>
    </row>
    <row r="27" spans="1:4" ht="30" x14ac:dyDescent="0.25">
      <c r="A27" s="419" t="s">
        <v>1711</v>
      </c>
      <c r="B27" s="405" t="s">
        <v>1733</v>
      </c>
      <c r="C27" s="400" t="str">
        <f>SVM_DNLDID</f>
        <v>CMME0000102</v>
      </c>
      <c r="D27" s="368" t="s">
        <v>1785</v>
      </c>
    </row>
    <row r="28" spans="1:4" ht="30" x14ac:dyDescent="0.25">
      <c r="A28" s="413" t="s">
        <v>1893</v>
      </c>
      <c r="B28" s="403" t="s">
        <v>1733</v>
      </c>
      <c r="C28" s="396" t="str">
        <f>SVM_Service_Pack_DNLDID</f>
        <v>CMME0000196</v>
      </c>
      <c r="D28" s="368" t="s">
        <v>1734</v>
      </c>
    </row>
    <row r="29" spans="1:4" ht="30" x14ac:dyDescent="0.25">
      <c r="A29" s="419" t="s">
        <v>1963</v>
      </c>
      <c r="B29" s="405" t="s">
        <v>1733</v>
      </c>
      <c r="C29" s="400" t="str">
        <f>SVM_SANITY_PATCH_DNLDID</f>
        <v>CMME0000214</v>
      </c>
      <c r="D29" s="72"/>
    </row>
    <row r="30" spans="1:4" ht="45" x14ac:dyDescent="0.25">
      <c r="A30" s="413" t="s">
        <v>1787</v>
      </c>
      <c r="B30" s="403" t="s">
        <v>1733</v>
      </c>
      <c r="C30" s="396" t="str">
        <f>AES_PATCH_DNLDID</f>
        <v>CMME0000144</v>
      </c>
      <c r="D30" s="368" t="s">
        <v>1734</v>
      </c>
    </row>
    <row r="31" spans="1:4" ht="30" x14ac:dyDescent="0.25">
      <c r="A31" s="413" t="s">
        <v>1786</v>
      </c>
      <c r="B31" s="403" t="s">
        <v>1733</v>
      </c>
      <c r="C31" s="396" t="str">
        <f>AES_LSU_PATCH_DNLDID</f>
        <v>CMME0000146</v>
      </c>
      <c r="D31" s="368" t="s">
        <v>1734</v>
      </c>
    </row>
    <row r="32" spans="1:4" ht="45" x14ac:dyDescent="0.25">
      <c r="A32" s="413" t="s">
        <v>1889</v>
      </c>
      <c r="B32" s="403" t="s">
        <v>1733</v>
      </c>
      <c r="C32" s="400" t="str">
        <f>AES_LSU_PATCH3_DNLDID</f>
        <v>CMME0000198</v>
      </c>
      <c r="D32" s="368" t="s">
        <v>1734</v>
      </c>
    </row>
    <row r="33" spans="1:4" ht="45" x14ac:dyDescent="0.25">
      <c r="A33" s="413" t="s">
        <v>1888</v>
      </c>
      <c r="B33" s="403" t="s">
        <v>1733</v>
      </c>
      <c r="C33" s="396" t="str">
        <f>AES_SUPER_PATCH_DNLDID</f>
        <v>CMME0000199</v>
      </c>
      <c r="D33" s="368" t="s">
        <v>1734</v>
      </c>
    </row>
    <row r="34" spans="1:4" ht="45" x14ac:dyDescent="0.25">
      <c r="A34" s="413" t="s">
        <v>1890</v>
      </c>
      <c r="B34" s="403" t="s">
        <v>1733</v>
      </c>
      <c r="C34" s="400" t="str">
        <f>AES_BASH_PATCH_DNLDID</f>
        <v>CMME0000197</v>
      </c>
      <c r="D34" s="368" t="s">
        <v>1734</v>
      </c>
    </row>
    <row r="35" spans="1:4" ht="30" x14ac:dyDescent="0.25">
      <c r="A35" s="413" t="s">
        <v>1964</v>
      </c>
      <c r="B35" s="403" t="s">
        <v>1733</v>
      </c>
      <c r="C35" s="396" t="str">
        <f>CM_PATCH_DNLDID</f>
        <v>CMME0000216</v>
      </c>
      <c r="D35" s="369" t="s">
        <v>1730</v>
      </c>
    </row>
    <row r="36" spans="1:4" ht="30" x14ac:dyDescent="0.25">
      <c r="A36" s="413" t="s">
        <v>1965</v>
      </c>
      <c r="B36" s="403" t="s">
        <v>1733</v>
      </c>
      <c r="C36" s="396" t="str">
        <f>CM_KSP_DNLDID</f>
        <v>CMME0000218</v>
      </c>
      <c r="D36" s="369" t="s">
        <v>1730</v>
      </c>
    </row>
    <row r="37" spans="1:4" ht="30" x14ac:dyDescent="0.25">
      <c r="A37" s="413" t="s">
        <v>1966</v>
      </c>
      <c r="B37" s="403" t="s">
        <v>1733</v>
      </c>
      <c r="C37" s="396" t="str">
        <f>CM_SSP_DNLDID</f>
        <v>CMME0000217</v>
      </c>
      <c r="D37" s="369" t="s">
        <v>1730</v>
      </c>
    </row>
    <row r="38" spans="1:4" ht="30" x14ac:dyDescent="0.25">
      <c r="A38" s="413" t="s">
        <v>1891</v>
      </c>
      <c r="B38" s="403" t="s">
        <v>687</v>
      </c>
      <c r="C38" s="396" t="str">
        <f>CMM_PATCH_DNLDID</f>
        <v>CMME0000203</v>
      </c>
      <c r="D38" s="369" t="s">
        <v>1730</v>
      </c>
    </row>
    <row r="39" spans="1:4" ht="45" x14ac:dyDescent="0.25">
      <c r="A39" s="413" t="s">
        <v>1823</v>
      </c>
      <c r="B39" s="403" t="s">
        <v>687</v>
      </c>
      <c r="C39" s="396" t="str">
        <f>PS_PATCH6202_DNLDID</f>
        <v>CMME0000124</v>
      </c>
      <c r="D39" s="369" t="s">
        <v>1825</v>
      </c>
    </row>
    <row r="40" spans="1:4" ht="45" x14ac:dyDescent="0.25">
      <c r="A40" s="413" t="s">
        <v>1824</v>
      </c>
      <c r="B40" s="403" t="s">
        <v>687</v>
      </c>
      <c r="C40" s="396" t="str">
        <f>PS_PATCH62199_DNLDID</f>
        <v>CMME0000125</v>
      </c>
      <c r="D40" s="369" t="s">
        <v>1826</v>
      </c>
    </row>
    <row r="41" spans="1:4" ht="30" x14ac:dyDescent="0.25">
      <c r="A41" s="413" t="s">
        <v>1967</v>
      </c>
      <c r="B41" s="403" t="s">
        <v>687</v>
      </c>
      <c r="C41" s="396" t="str">
        <f>PS_SP_DNLDID</f>
        <v>CMME0000219</v>
      </c>
      <c r="D41" s="369" t="s">
        <v>1730</v>
      </c>
    </row>
    <row r="42" spans="1:4" ht="30" x14ac:dyDescent="0.25">
      <c r="A42" s="413" t="s">
        <v>1968</v>
      </c>
      <c r="B42" s="403" t="s">
        <v>687</v>
      </c>
      <c r="C42" s="396" t="str">
        <f>PS_PATCH1_DNLDID</f>
        <v>CMME0000220</v>
      </c>
      <c r="D42" s="368" t="s">
        <v>1730</v>
      </c>
    </row>
    <row r="43" spans="1:4" ht="30" x14ac:dyDescent="0.25">
      <c r="A43" s="413" t="s">
        <v>1969</v>
      </c>
      <c r="B43" s="403" t="s">
        <v>687</v>
      </c>
      <c r="C43" s="396" t="str">
        <f>SM_SP_DNLDID</f>
        <v>CMME0000221</v>
      </c>
      <c r="D43" s="369" t="s">
        <v>1730</v>
      </c>
    </row>
    <row r="44" spans="1:4" ht="30" x14ac:dyDescent="0.25">
      <c r="A44" s="413" t="s">
        <v>1970</v>
      </c>
      <c r="B44" s="403" t="s">
        <v>687</v>
      </c>
      <c r="C44" s="396" t="str">
        <f>SMGR_SP_DNLDID</f>
        <v>CMME0000222</v>
      </c>
      <c r="D44" s="369" t="s">
        <v>1730</v>
      </c>
    </row>
    <row r="45" spans="1:4" ht="30" x14ac:dyDescent="0.25">
      <c r="A45" s="413" t="s">
        <v>1735</v>
      </c>
      <c r="B45" s="403" t="s">
        <v>687</v>
      </c>
      <c r="C45" s="396" t="str">
        <f>SMGR_SP_PATCH_EXE_DNLDID</f>
        <v>CMME0000137</v>
      </c>
      <c r="D45" s="369" t="s">
        <v>1730</v>
      </c>
    </row>
    <row r="46" spans="1:4" ht="30" x14ac:dyDescent="0.25">
      <c r="A46" s="413" t="s">
        <v>1971</v>
      </c>
      <c r="B46" s="403" t="s">
        <v>687</v>
      </c>
      <c r="C46" s="396" t="str">
        <f>US_SP_DNLDID</f>
        <v>CMME0000223</v>
      </c>
      <c r="D46" s="369" t="s">
        <v>1730</v>
      </c>
    </row>
    <row r="47" spans="1:4" ht="90" x14ac:dyDescent="0.25">
      <c r="A47" s="413" t="s">
        <v>1892</v>
      </c>
      <c r="B47" s="403" t="s">
        <v>687</v>
      </c>
      <c r="C47" s="396" t="str">
        <f>US_PATCH4_DNLDID</f>
        <v>CMME0000120</v>
      </c>
      <c r="D47" s="369" t="s">
        <v>1976</v>
      </c>
    </row>
    <row r="48" spans="1:4" ht="30" x14ac:dyDescent="0.25">
      <c r="A48" s="618" t="s">
        <v>1972</v>
      </c>
      <c r="B48" s="390" t="s">
        <v>687</v>
      </c>
      <c r="C48" s="397" t="str">
        <f>US_PATCH7_DNLDID</f>
        <v>CMME0000212</v>
      </c>
      <c r="D48" s="369" t="s">
        <v>1973</v>
      </c>
    </row>
    <row r="49" spans="1:4" ht="30.75" thickBot="1" x14ac:dyDescent="0.3">
      <c r="A49" s="423" t="s">
        <v>1974</v>
      </c>
      <c r="B49" s="394" t="s">
        <v>687</v>
      </c>
      <c r="C49" s="402" t="str">
        <f>US_PATCH9_DNLDID</f>
        <v>CMME0000224</v>
      </c>
      <c r="D49" s="499" t="s">
        <v>1975</v>
      </c>
    </row>
    <row r="50" spans="1:4" ht="30.75" thickTop="1" x14ac:dyDescent="0.25">
      <c r="A50" s="415" t="s">
        <v>1558</v>
      </c>
      <c r="B50" s="401"/>
      <c r="C50" s="401"/>
      <c r="D50" s="495" t="s">
        <v>1556</v>
      </c>
    </row>
    <row r="51" spans="1:4" ht="15.75" thickBot="1" x14ac:dyDescent="0.3">
      <c r="A51" s="420" t="s">
        <v>1557</v>
      </c>
      <c r="B51" s="394" t="s">
        <v>710</v>
      </c>
      <c r="C51" s="402" t="str">
        <f>SP_FP4_ISO_FILENAME</f>
        <v>vsp-6.3.7.0.05001.iso</v>
      </c>
      <c r="D51" s="490"/>
    </row>
    <row r="52" spans="1:4" ht="15.75" thickTop="1" x14ac:dyDescent="0.25">
      <c r="A52" s="421" t="s">
        <v>1567</v>
      </c>
      <c r="B52" s="401"/>
      <c r="C52" s="395"/>
      <c r="D52" s="495"/>
    </row>
    <row r="53" spans="1:4" ht="30.75" thickBot="1" x14ac:dyDescent="0.3">
      <c r="A53" s="420" t="s">
        <v>1562</v>
      </c>
      <c r="B53" s="406" t="s">
        <v>710</v>
      </c>
      <c r="C53" s="398" t="str">
        <f>SVM_Filename</f>
        <v>Services_VM-3.0.0.0.11.iso</v>
      </c>
      <c r="D53" s="496" t="s">
        <v>1563</v>
      </c>
    </row>
    <row r="54" spans="1:4" ht="105.75" thickTop="1" x14ac:dyDescent="0.25">
      <c r="A54" s="412" t="s">
        <v>711</v>
      </c>
      <c r="B54" s="403"/>
      <c r="C54" s="403"/>
      <c r="D54" s="497" t="s">
        <v>1522</v>
      </c>
    </row>
    <row r="55" spans="1:4" x14ac:dyDescent="0.25">
      <c r="A55" s="422" t="s">
        <v>1086</v>
      </c>
      <c r="B55" s="405" t="s">
        <v>710</v>
      </c>
      <c r="C55" s="400" t="str">
        <f>ME_TEMPLATE_1_FILENAME</f>
        <v>Midsize_Ent-6.2.2.1.2120-1.iso</v>
      </c>
      <c r="D55" s="368"/>
    </row>
    <row r="56" spans="1:4" x14ac:dyDescent="0.25">
      <c r="A56" s="422" t="s">
        <v>1087</v>
      </c>
      <c r="B56" s="405" t="s">
        <v>710</v>
      </c>
      <c r="C56" s="400" t="str">
        <f>ME_TEMPLATE_2_FILENAME</f>
        <v>Midsize_Ent-6.2.2.1.2120-2.iso</v>
      </c>
      <c r="D56" s="368"/>
    </row>
    <row r="57" spans="1:4" x14ac:dyDescent="0.25">
      <c r="A57" s="422" t="s">
        <v>1088</v>
      </c>
      <c r="B57" s="405" t="s">
        <v>710</v>
      </c>
      <c r="C57" s="400" t="str">
        <f>ME_TEMPLATE_3_FILENAME</f>
        <v>Midsize_Ent-6.2.2.1.2120-3.iso</v>
      </c>
      <c r="D57" s="368"/>
    </row>
    <row r="58" spans="1:4" ht="15.75" thickBot="1" x14ac:dyDescent="0.3">
      <c r="A58" s="414"/>
      <c r="B58" s="394"/>
      <c r="C58" s="394"/>
      <c r="D58" s="490"/>
    </row>
    <row r="59" spans="1:4" ht="15.75" thickTop="1" x14ac:dyDescent="0.25"/>
  </sheetData>
  <sheetProtection sheet="1" objects="1" scenarios="1"/>
  <hyperlinks>
    <hyperlink ref="C3" r:id="rId1"/>
  </hyperlinks>
  <pageMargins left="0.7" right="0.7" top="0.75" bottom="0.75" header="0.3" footer="0.3"/>
  <pageSetup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Normal="100" workbookViewId="0">
      <pane ySplit="1" topLeftCell="A2" activePane="bottomLeft" state="frozen"/>
      <selection activeCell="C89" sqref="C89"/>
      <selection pane="bottomLeft" activeCell="C89" sqref="C89"/>
    </sheetView>
  </sheetViews>
  <sheetFormatPr defaultRowHeight="15" x14ac:dyDescent="0.25"/>
  <cols>
    <col min="1" max="1" width="56.42578125" customWidth="1"/>
    <col min="2" max="2" width="35.42578125" style="1" customWidth="1"/>
    <col min="3" max="3" width="38.42578125" style="1" customWidth="1"/>
    <col min="4" max="4" width="36.28515625" customWidth="1"/>
  </cols>
  <sheetData>
    <row r="1" spans="1:4" ht="15.75" thickBot="1" x14ac:dyDescent="0.3">
      <c r="A1" s="42" t="s">
        <v>11</v>
      </c>
      <c r="B1" s="43" t="s">
        <v>3</v>
      </c>
      <c r="C1" s="43" t="s">
        <v>193</v>
      </c>
      <c r="D1" s="84" t="s">
        <v>122</v>
      </c>
    </row>
    <row r="2" spans="1:4" ht="105.75" thickTop="1" x14ac:dyDescent="0.25">
      <c r="A2" s="191" t="s">
        <v>766</v>
      </c>
      <c r="B2" s="171"/>
      <c r="C2" s="171"/>
      <c r="D2" s="172" t="s">
        <v>767</v>
      </c>
    </row>
    <row r="3" spans="1:4" x14ac:dyDescent="0.25">
      <c r="A3" s="17" t="s">
        <v>793</v>
      </c>
      <c r="B3" s="11" t="s">
        <v>1</v>
      </c>
      <c r="C3" s="11" t="s">
        <v>1</v>
      </c>
      <c r="D3" s="12"/>
    </row>
    <row r="4" spans="1:4" ht="45" x14ac:dyDescent="0.25">
      <c r="A4" s="180" t="s">
        <v>768</v>
      </c>
      <c r="B4" s="89" t="s">
        <v>1</v>
      </c>
      <c r="C4" s="22" t="s">
        <v>1379</v>
      </c>
      <c r="D4" s="88"/>
    </row>
    <row r="5" spans="1:4" x14ac:dyDescent="0.25">
      <c r="A5" s="17" t="s">
        <v>769</v>
      </c>
      <c r="B5" s="12" t="s">
        <v>794</v>
      </c>
      <c r="C5" s="12" t="s">
        <v>795</v>
      </c>
      <c r="D5" s="12"/>
    </row>
    <row r="6" spans="1:4" x14ac:dyDescent="0.25">
      <c r="A6" s="17" t="s">
        <v>770</v>
      </c>
      <c r="B6" s="12" t="s">
        <v>771</v>
      </c>
      <c r="C6" s="12" t="s">
        <v>772</v>
      </c>
      <c r="D6" s="12"/>
    </row>
    <row r="7" spans="1:4" ht="60" x14ac:dyDescent="0.25">
      <c r="A7" s="17" t="s">
        <v>1107</v>
      </c>
      <c r="B7" s="12" t="s">
        <v>43</v>
      </c>
      <c r="C7" s="12" t="s">
        <v>772</v>
      </c>
      <c r="D7" s="12" t="s">
        <v>1108</v>
      </c>
    </row>
    <row r="8" spans="1:4" ht="60" x14ac:dyDescent="0.25">
      <c r="A8" s="17" t="s">
        <v>1109</v>
      </c>
      <c r="B8" s="12" t="s">
        <v>775</v>
      </c>
      <c r="C8" s="12" t="s">
        <v>773</v>
      </c>
      <c r="D8" s="12" t="s">
        <v>799</v>
      </c>
    </row>
    <row r="9" spans="1:4" x14ac:dyDescent="0.25">
      <c r="A9" s="17" t="s">
        <v>776</v>
      </c>
      <c r="B9" s="12" t="s">
        <v>385</v>
      </c>
      <c r="C9" s="12" t="s">
        <v>773</v>
      </c>
      <c r="D9" s="12"/>
    </row>
    <row r="10" spans="1:4" ht="150" x14ac:dyDescent="0.25">
      <c r="A10" s="17" t="s">
        <v>774</v>
      </c>
      <c r="B10" s="12" t="s">
        <v>777</v>
      </c>
      <c r="C10" s="12" t="s">
        <v>778</v>
      </c>
      <c r="D10" s="12" t="s">
        <v>779</v>
      </c>
    </row>
    <row r="11" spans="1:4" x14ac:dyDescent="0.25">
      <c r="A11" s="17" t="s">
        <v>780</v>
      </c>
      <c r="B11" s="12" t="s">
        <v>781</v>
      </c>
      <c r="C11" s="12">
        <v>1</v>
      </c>
      <c r="D11" s="12"/>
    </row>
    <row r="12" spans="1:4" x14ac:dyDescent="0.25">
      <c r="A12" s="17" t="s">
        <v>783</v>
      </c>
      <c r="B12" s="12" t="s">
        <v>782</v>
      </c>
      <c r="C12" s="71">
        <f>MEDIP</f>
        <v>0</v>
      </c>
      <c r="D12" s="12"/>
    </row>
    <row r="13" spans="1:4" x14ac:dyDescent="0.25">
      <c r="A13" s="17" t="s">
        <v>784</v>
      </c>
      <c r="B13" s="12" t="s">
        <v>785</v>
      </c>
      <c r="C13" s="71">
        <f>MEDMASK</f>
        <v>0</v>
      </c>
      <c r="D13" s="12"/>
    </row>
    <row r="14" spans="1:4" x14ac:dyDescent="0.25">
      <c r="A14" s="17" t="s">
        <v>786</v>
      </c>
      <c r="B14" s="6" t="s">
        <v>788</v>
      </c>
      <c r="C14" s="69">
        <f>MEDGATEWAY</f>
        <v>0</v>
      </c>
      <c r="D14" s="6"/>
    </row>
    <row r="15" spans="1:4" x14ac:dyDescent="0.25">
      <c r="A15" s="17" t="s">
        <v>787</v>
      </c>
      <c r="B15" s="6" t="s">
        <v>789</v>
      </c>
      <c r="C15" s="69">
        <f>CMIP</f>
        <v>0</v>
      </c>
      <c r="D15" s="6"/>
    </row>
    <row r="16" spans="1:4" x14ac:dyDescent="0.25">
      <c r="A16" s="17" t="s">
        <v>790</v>
      </c>
      <c r="B16" s="6" t="s">
        <v>4</v>
      </c>
      <c r="C16" s="69">
        <f>MEDIAGWTYPE</f>
        <v>0</v>
      </c>
      <c r="D16" s="6"/>
    </row>
    <row r="17" spans="1:4" x14ac:dyDescent="0.25">
      <c r="A17" s="5" t="s">
        <v>791</v>
      </c>
      <c r="B17" s="6" t="s">
        <v>792</v>
      </c>
      <c r="C17" s="6" t="s">
        <v>778</v>
      </c>
      <c r="D17" s="6"/>
    </row>
    <row r="18" spans="1:4" ht="60" x14ac:dyDescent="0.25">
      <c r="A18" s="17" t="s">
        <v>796</v>
      </c>
      <c r="B18" s="11" t="s">
        <v>1</v>
      </c>
      <c r="C18" s="11" t="s">
        <v>1</v>
      </c>
      <c r="D18" s="16" t="s">
        <v>797</v>
      </c>
    </row>
  </sheetData>
  <sheetProtection sheet="1" objects="1" scenarios="1"/>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5"/>
  <sheetViews>
    <sheetView zoomScaleNormal="100" workbookViewId="0">
      <pane ySplit="1" topLeftCell="A131" activePane="bottomLeft" state="frozen"/>
      <selection pane="bottomLeft" activeCell="C144" sqref="C144"/>
    </sheetView>
  </sheetViews>
  <sheetFormatPr defaultRowHeight="15" x14ac:dyDescent="0.25"/>
  <cols>
    <col min="1" max="1" width="55.140625" style="302" customWidth="1"/>
    <col min="2" max="2" width="25" style="163" customWidth="1"/>
    <col min="3" max="3" width="40.5703125" style="246" customWidth="1"/>
    <col min="4" max="4" width="36.7109375" style="246" customWidth="1"/>
  </cols>
  <sheetData>
    <row r="1" spans="1:4" s="128" customFormat="1" ht="15.75" thickBot="1" x14ac:dyDescent="0.3">
      <c r="A1" s="300" t="s">
        <v>11</v>
      </c>
      <c r="B1" s="303" t="s">
        <v>3</v>
      </c>
      <c r="C1" s="303" t="s">
        <v>193</v>
      </c>
      <c r="D1" s="284" t="s">
        <v>122</v>
      </c>
    </row>
    <row r="2" spans="1:4" s="128" customFormat="1" ht="15.75" thickTop="1" x14ac:dyDescent="0.25">
      <c r="A2" s="142" t="s">
        <v>1387</v>
      </c>
      <c r="B2" s="304"/>
      <c r="C2" s="278"/>
      <c r="D2" s="279"/>
    </row>
    <row r="3" spans="1:4" ht="180" x14ac:dyDescent="0.25">
      <c r="A3" s="225" t="s">
        <v>1383</v>
      </c>
      <c r="B3" s="280" t="s">
        <v>992</v>
      </c>
      <c r="C3" s="281" t="s">
        <v>1651</v>
      </c>
      <c r="D3" s="142" t="s">
        <v>1554</v>
      </c>
    </row>
    <row r="4" spans="1:4" ht="39" customHeight="1" x14ac:dyDescent="0.25">
      <c r="A4" s="168" t="s">
        <v>1369</v>
      </c>
      <c r="B4" s="170" t="s">
        <v>1</v>
      </c>
      <c r="C4" s="170" t="s">
        <v>1</v>
      </c>
      <c r="D4" s="179"/>
    </row>
    <row r="5" spans="1:4" ht="39.75" customHeight="1" thickBot="1" x14ac:dyDescent="0.3">
      <c r="A5" s="289" t="s">
        <v>993</v>
      </c>
      <c r="B5" s="290" t="s">
        <v>1</v>
      </c>
      <c r="C5" s="290" t="s">
        <v>1</v>
      </c>
      <c r="D5" s="291"/>
    </row>
    <row r="6" spans="1:4" ht="34.5" customHeight="1" thickTop="1" x14ac:dyDescent="0.25">
      <c r="A6" s="194" t="s">
        <v>997</v>
      </c>
      <c r="B6" s="12"/>
      <c r="C6" s="16"/>
      <c r="D6" s="16"/>
    </row>
    <row r="7" spans="1:4" ht="48" customHeight="1" x14ac:dyDescent="0.25">
      <c r="A7" s="17" t="s">
        <v>994</v>
      </c>
      <c r="B7" s="12" t="s">
        <v>995</v>
      </c>
      <c r="C7" s="12" t="s">
        <v>996</v>
      </c>
      <c r="D7" s="86"/>
    </row>
    <row r="8" spans="1:4" ht="75" x14ac:dyDescent="0.25">
      <c r="A8" s="17" t="s">
        <v>1001</v>
      </c>
      <c r="B8" s="12" t="s">
        <v>999</v>
      </c>
      <c r="C8" s="71" t="str">
        <f>CONCATENATE("ping ",DOMZEROIP)</f>
        <v xml:space="preserve">ping </v>
      </c>
      <c r="D8" s="12" t="s">
        <v>1518</v>
      </c>
    </row>
    <row r="9" spans="1:4" ht="75" x14ac:dyDescent="0.25">
      <c r="A9" s="17" t="s">
        <v>1002</v>
      </c>
      <c r="B9" s="12" t="s">
        <v>999</v>
      </c>
      <c r="C9" s="71" t="str">
        <f>CONCATENATE("ping ",CDOMIP)</f>
        <v xml:space="preserve">ping </v>
      </c>
      <c r="D9" s="12" t="s">
        <v>1519</v>
      </c>
    </row>
    <row r="10" spans="1:4" ht="60" x14ac:dyDescent="0.25">
      <c r="A10" s="13" t="s">
        <v>1384</v>
      </c>
      <c r="B10" s="12" t="s">
        <v>1</v>
      </c>
      <c r="C10" s="12" t="s">
        <v>1</v>
      </c>
      <c r="D10" s="179"/>
    </row>
    <row r="11" spans="1:4" ht="60.75" thickBot="1" x14ac:dyDescent="0.3">
      <c r="A11" s="203" t="s">
        <v>701</v>
      </c>
      <c r="B11" s="57" t="s">
        <v>1</v>
      </c>
      <c r="C11" s="57" t="s">
        <v>699</v>
      </c>
      <c r="D11" s="291"/>
    </row>
    <row r="12" spans="1:4" ht="180.75" thickTop="1" x14ac:dyDescent="0.25">
      <c r="A12" s="142" t="s">
        <v>1509</v>
      </c>
      <c r="B12" s="22"/>
      <c r="C12" s="22"/>
      <c r="D12" s="87" t="s">
        <v>1388</v>
      </c>
    </row>
    <row r="13" spans="1:4" ht="60" x14ac:dyDescent="0.25">
      <c r="A13" s="90" t="s">
        <v>1003</v>
      </c>
      <c r="B13" s="22" t="s">
        <v>1</v>
      </c>
      <c r="C13" s="22" t="s">
        <v>1004</v>
      </c>
      <c r="D13" s="216" t="s">
        <v>1652</v>
      </c>
    </row>
    <row r="14" spans="1:4" ht="45" x14ac:dyDescent="0.25">
      <c r="A14" s="17" t="s">
        <v>1380</v>
      </c>
      <c r="B14" s="12" t="s">
        <v>1005</v>
      </c>
      <c r="C14" s="12" t="s">
        <v>31</v>
      </c>
      <c r="D14" s="29"/>
    </row>
    <row r="15" spans="1:4" ht="15.75" thickBot="1" x14ac:dyDescent="0.3">
      <c r="A15" s="206" t="s">
        <v>1006</v>
      </c>
      <c r="B15" s="57" t="s">
        <v>1007</v>
      </c>
      <c r="C15" s="57" t="s">
        <v>1008</v>
      </c>
      <c r="D15" s="54"/>
    </row>
    <row r="16" spans="1:4" ht="195.75" thickTop="1" x14ac:dyDescent="0.25">
      <c r="A16" s="86" t="s">
        <v>1386</v>
      </c>
      <c r="B16" s="12"/>
      <c r="C16" s="12"/>
      <c r="D16" s="273" t="s">
        <v>1385</v>
      </c>
    </row>
    <row r="17" spans="1:4" ht="165" x14ac:dyDescent="0.25">
      <c r="A17" s="17" t="s">
        <v>1012</v>
      </c>
      <c r="B17" s="12" t="s">
        <v>1007</v>
      </c>
      <c r="C17" s="12" t="s">
        <v>1009</v>
      </c>
      <c r="D17" s="159" t="s">
        <v>1053</v>
      </c>
    </row>
    <row r="18" spans="1:4" x14ac:dyDescent="0.25">
      <c r="A18" s="17" t="e">
        <f>CONCATENATE("Enter swversion, confirm that System Platform version is: ",SP_FP3_Patch)</f>
        <v>#NAME?</v>
      </c>
      <c r="B18" s="12" t="s">
        <v>1007</v>
      </c>
      <c r="C18" s="12" t="s">
        <v>827</v>
      </c>
      <c r="D18" s="29"/>
    </row>
    <row r="19" spans="1:4" ht="75" x14ac:dyDescent="0.25">
      <c r="A19" s="17" t="s">
        <v>1013</v>
      </c>
      <c r="B19" s="12" t="s">
        <v>1007</v>
      </c>
      <c r="C19" s="12" t="s">
        <v>1010</v>
      </c>
      <c r="D19" s="29" t="s">
        <v>1054</v>
      </c>
    </row>
    <row r="20" spans="1:4" ht="30.75" thickBot="1" x14ac:dyDescent="0.3">
      <c r="A20" s="206" t="s">
        <v>1520</v>
      </c>
      <c r="B20" s="57" t="s">
        <v>1007</v>
      </c>
      <c r="C20" s="57" t="s">
        <v>1011</v>
      </c>
      <c r="D20" s="54"/>
    </row>
    <row r="21" spans="1:4" ht="15.75" thickTop="1" x14ac:dyDescent="0.25">
      <c r="A21" s="86" t="s">
        <v>1389</v>
      </c>
      <c r="B21" s="12"/>
      <c r="C21" s="12"/>
      <c r="D21" s="29"/>
    </row>
    <row r="22" spans="1:4" ht="60" x14ac:dyDescent="0.25">
      <c r="A22" s="17" t="s">
        <v>546</v>
      </c>
      <c r="B22" s="170" t="s">
        <v>219</v>
      </c>
      <c r="C22" s="36" t="s">
        <v>1014</v>
      </c>
      <c r="D22" s="29" t="s">
        <v>1510</v>
      </c>
    </row>
    <row r="23" spans="1:4" x14ac:dyDescent="0.25">
      <c r="A23" s="13" t="s">
        <v>1015</v>
      </c>
      <c r="B23" s="12" t="s">
        <v>215</v>
      </c>
      <c r="C23" s="36" t="s">
        <v>31</v>
      </c>
      <c r="D23" s="29"/>
    </row>
    <row r="24" spans="1:4" ht="15.75" thickBot="1" x14ac:dyDescent="0.3">
      <c r="A24" s="203" t="s">
        <v>1281</v>
      </c>
      <c r="B24" s="57" t="s">
        <v>124</v>
      </c>
      <c r="C24" s="261" t="s">
        <v>724</v>
      </c>
      <c r="D24" s="54"/>
    </row>
    <row r="25" spans="1:4" ht="165.75" thickTop="1" x14ac:dyDescent="0.25">
      <c r="A25" s="194" t="s">
        <v>1371</v>
      </c>
      <c r="B25" s="12"/>
      <c r="C25" s="68"/>
      <c r="D25" s="211" t="s">
        <v>1390</v>
      </c>
    </row>
    <row r="26" spans="1:4" x14ac:dyDescent="0.25">
      <c r="A26" s="243" t="s">
        <v>1260</v>
      </c>
      <c r="B26" s="12" t="s">
        <v>1259</v>
      </c>
      <c r="C26" s="68">
        <f>SPTIMEZONE</f>
        <v>0</v>
      </c>
      <c r="D26" s="29"/>
    </row>
    <row r="27" spans="1:4" ht="30" x14ac:dyDescent="0.25">
      <c r="A27" s="17" t="s">
        <v>1300</v>
      </c>
      <c r="B27" s="12" t="s">
        <v>1275</v>
      </c>
      <c r="C27" s="16" t="s">
        <v>1274</v>
      </c>
      <c r="D27" s="29"/>
    </row>
    <row r="28" spans="1:4" ht="30" x14ac:dyDescent="0.25">
      <c r="A28" s="17" t="s">
        <v>1521</v>
      </c>
      <c r="B28" s="12" t="s">
        <v>1267</v>
      </c>
      <c r="C28" s="268">
        <f>DOMZEROIP</f>
        <v>0</v>
      </c>
      <c r="D28" s="211" t="s">
        <v>1438</v>
      </c>
    </row>
    <row r="29" spans="1:4" x14ac:dyDescent="0.25">
      <c r="A29" s="17" t="s">
        <v>1270</v>
      </c>
      <c r="B29" s="12" t="s">
        <v>1268</v>
      </c>
      <c r="C29" s="268">
        <f>DOMZERONETMASK</f>
        <v>0</v>
      </c>
      <c r="D29" s="29"/>
    </row>
    <row r="30" spans="1:4" x14ac:dyDescent="0.25">
      <c r="A30" s="17" t="s">
        <v>1269</v>
      </c>
      <c r="B30" s="12" t="s">
        <v>49</v>
      </c>
      <c r="C30" s="268">
        <f>DOMZERODEFGW</f>
        <v>0</v>
      </c>
      <c r="D30" s="29"/>
    </row>
    <row r="31" spans="1:4" x14ac:dyDescent="0.25">
      <c r="A31" s="17" t="s">
        <v>1301</v>
      </c>
      <c r="B31" s="12" t="s">
        <v>66</v>
      </c>
      <c r="C31" s="268">
        <f>PRIMARYDNSIP</f>
        <v>0</v>
      </c>
      <c r="D31" s="29"/>
    </row>
    <row r="32" spans="1:4" x14ac:dyDescent="0.25">
      <c r="A32" s="17" t="s">
        <v>1302</v>
      </c>
      <c r="B32" s="12" t="s">
        <v>68</v>
      </c>
      <c r="C32" s="268">
        <f>SECONDARYDNSIP</f>
        <v>0</v>
      </c>
      <c r="D32" s="29"/>
    </row>
    <row r="33" spans="1:4" ht="30" x14ac:dyDescent="0.25">
      <c r="A33" s="17" t="s">
        <v>1261</v>
      </c>
      <c r="B33" s="12" t="s">
        <v>1041</v>
      </c>
      <c r="C33" s="68">
        <f>NTPSRVRFQDN</f>
        <v>0</v>
      </c>
      <c r="D33" s="211" t="s">
        <v>1396</v>
      </c>
    </row>
    <row r="34" spans="1:4" x14ac:dyDescent="0.25">
      <c r="A34" s="17" t="s">
        <v>1265</v>
      </c>
      <c r="B34" s="12" t="s">
        <v>91</v>
      </c>
      <c r="C34" s="36" t="s">
        <v>1272</v>
      </c>
      <c r="D34" s="29"/>
    </row>
    <row r="35" spans="1:4" ht="30" x14ac:dyDescent="0.25">
      <c r="A35" s="17" t="s">
        <v>1042</v>
      </c>
      <c r="B35" s="12" t="s">
        <v>1043</v>
      </c>
      <c r="C35" s="68">
        <f>NTPSRVRFQDN</f>
        <v>0</v>
      </c>
      <c r="D35" s="29"/>
    </row>
    <row r="36" spans="1:4" x14ac:dyDescent="0.25">
      <c r="A36" s="17" t="s">
        <v>1266</v>
      </c>
      <c r="B36" s="12" t="s">
        <v>326</v>
      </c>
      <c r="C36" s="244" t="s">
        <v>1273</v>
      </c>
      <c r="D36" s="29"/>
    </row>
    <row r="37" spans="1:4" ht="90" x14ac:dyDescent="0.25">
      <c r="A37" s="17" t="s">
        <v>1303</v>
      </c>
      <c r="B37" s="12" t="s">
        <v>459</v>
      </c>
      <c r="C37" s="36" t="s">
        <v>724</v>
      </c>
      <c r="D37" s="211" t="s">
        <v>1044</v>
      </c>
    </row>
    <row r="38" spans="1:4" ht="60.75" thickBot="1" x14ac:dyDescent="0.3">
      <c r="A38" s="206" t="s">
        <v>1019</v>
      </c>
      <c r="B38" s="57"/>
      <c r="C38" s="292"/>
      <c r="D38" s="293" t="s">
        <v>1055</v>
      </c>
    </row>
    <row r="39" spans="1:4" ht="30.75" thickTop="1" x14ac:dyDescent="0.25">
      <c r="A39" s="194" t="s">
        <v>1370</v>
      </c>
      <c r="B39" s="12"/>
      <c r="C39" s="68"/>
      <c r="D39" s="29"/>
    </row>
    <row r="40" spans="1:4" ht="30" x14ac:dyDescent="0.25">
      <c r="A40" s="17" t="s">
        <v>1262</v>
      </c>
      <c r="B40" s="12" t="s">
        <v>1276</v>
      </c>
      <c r="C40" s="16" t="s">
        <v>1271</v>
      </c>
      <c r="D40" s="29"/>
    </row>
    <row r="41" spans="1:4" ht="30" x14ac:dyDescent="0.25">
      <c r="A41" s="17" t="s">
        <v>1024</v>
      </c>
      <c r="B41" s="12" t="s">
        <v>1025</v>
      </c>
      <c r="C41" s="36" t="s">
        <v>1026</v>
      </c>
      <c r="D41" s="29" t="s">
        <v>1027</v>
      </c>
    </row>
    <row r="42" spans="1:4" ht="45" x14ac:dyDescent="0.25">
      <c r="A42" s="17" t="s">
        <v>1029</v>
      </c>
      <c r="B42" s="12" t="s">
        <v>1030</v>
      </c>
      <c r="C42" s="36" t="s">
        <v>1031</v>
      </c>
      <c r="D42" s="29"/>
    </row>
    <row r="43" spans="1:4" ht="75" x14ac:dyDescent="0.25">
      <c r="A43" s="17" t="s">
        <v>1040</v>
      </c>
      <c r="B43" s="12" t="s">
        <v>1033</v>
      </c>
      <c r="C43" s="36" t="s">
        <v>1032</v>
      </c>
      <c r="D43" s="29" t="s">
        <v>1028</v>
      </c>
    </row>
    <row r="44" spans="1:4" ht="30" x14ac:dyDescent="0.25">
      <c r="A44" s="17" t="s">
        <v>1034</v>
      </c>
      <c r="B44" s="12" t="s">
        <v>1035</v>
      </c>
      <c r="C44" s="36" t="s">
        <v>1036</v>
      </c>
      <c r="D44" s="29"/>
    </row>
    <row r="45" spans="1:4" x14ac:dyDescent="0.25">
      <c r="A45" s="17" t="s">
        <v>1264</v>
      </c>
      <c r="B45" s="12" t="s">
        <v>459</v>
      </c>
      <c r="C45" s="36" t="s">
        <v>1037</v>
      </c>
      <c r="D45" s="29"/>
    </row>
    <row r="46" spans="1:4" ht="30" x14ac:dyDescent="0.25">
      <c r="A46" s="17" t="s">
        <v>1263</v>
      </c>
      <c r="B46" s="12" t="s">
        <v>1038</v>
      </c>
      <c r="C46" s="36" t="s">
        <v>1039</v>
      </c>
      <c r="D46" s="29"/>
    </row>
    <row r="47" spans="1:4" x14ac:dyDescent="0.25">
      <c r="A47" s="17" t="s">
        <v>1372</v>
      </c>
      <c r="B47" s="12" t="s">
        <v>326</v>
      </c>
      <c r="C47" s="36" t="s">
        <v>724</v>
      </c>
      <c r="D47" s="29"/>
    </row>
    <row r="48" spans="1:4" ht="90" x14ac:dyDescent="0.25">
      <c r="A48" s="17" t="s">
        <v>1303</v>
      </c>
      <c r="B48" s="12" t="s">
        <v>459</v>
      </c>
      <c r="C48" s="36" t="s">
        <v>724</v>
      </c>
      <c r="D48" s="211" t="s">
        <v>1044</v>
      </c>
    </row>
    <row r="49" spans="1:4" ht="60.75" thickBot="1" x14ac:dyDescent="0.3">
      <c r="A49" s="206" t="s">
        <v>1019</v>
      </c>
      <c r="B49" s="57"/>
      <c r="C49" s="292"/>
      <c r="D49" s="293" t="s">
        <v>1055</v>
      </c>
    </row>
    <row r="50" spans="1:4" ht="15.75" thickTop="1" x14ac:dyDescent="0.25">
      <c r="A50" s="86" t="s">
        <v>1278</v>
      </c>
      <c r="B50" s="12"/>
      <c r="C50" s="68"/>
      <c r="D50" s="211"/>
    </row>
    <row r="51" spans="1:4" ht="45" x14ac:dyDescent="0.25">
      <c r="A51" s="13" t="s">
        <v>1015</v>
      </c>
      <c r="B51" s="12" t="s">
        <v>215</v>
      </c>
      <c r="C51" s="36" t="s">
        <v>31</v>
      </c>
      <c r="D51" s="29" t="s">
        <v>1020</v>
      </c>
    </row>
    <row r="52" spans="1:4" ht="30" x14ac:dyDescent="0.25">
      <c r="A52" s="17" t="s">
        <v>1022</v>
      </c>
      <c r="B52" s="12" t="s">
        <v>1016</v>
      </c>
      <c r="C52" s="36" t="s">
        <v>1023</v>
      </c>
      <c r="D52" s="29"/>
    </row>
    <row r="53" spans="1:4" ht="45" x14ac:dyDescent="0.25">
      <c r="A53" s="17" t="s">
        <v>1045</v>
      </c>
      <c r="B53" s="12" t="s">
        <v>1049</v>
      </c>
      <c r="C53" s="36" t="s">
        <v>1046</v>
      </c>
      <c r="D53" s="29"/>
    </row>
    <row r="54" spans="1:4" ht="45" x14ac:dyDescent="0.25">
      <c r="A54" s="17" t="s">
        <v>1279</v>
      </c>
      <c r="B54" s="12" t="s">
        <v>1047</v>
      </c>
      <c r="C54" s="36" t="s">
        <v>1048</v>
      </c>
      <c r="D54" s="29"/>
    </row>
    <row r="55" spans="1:4" ht="105.75" thickBot="1" x14ac:dyDescent="0.3">
      <c r="A55" s="275" t="s">
        <v>1434</v>
      </c>
      <c r="B55" s="57"/>
      <c r="C55" s="276"/>
      <c r="D55" s="277" t="s">
        <v>1391</v>
      </c>
    </row>
    <row r="56" spans="1:4" ht="15.75" thickTop="1" x14ac:dyDescent="0.25">
      <c r="A56" s="285"/>
      <c r="B56" s="59"/>
      <c r="C56" s="286"/>
      <c r="D56" s="187"/>
    </row>
    <row r="57" spans="1:4" ht="30" x14ac:dyDescent="0.25">
      <c r="A57" s="194" t="s">
        <v>1439</v>
      </c>
      <c r="B57" s="12"/>
      <c r="C57" s="16"/>
      <c r="D57" s="29"/>
    </row>
    <row r="58" spans="1:4" ht="30" x14ac:dyDescent="0.25">
      <c r="A58" s="90" t="s">
        <v>1277</v>
      </c>
      <c r="B58" s="22" t="s">
        <v>1016</v>
      </c>
      <c r="C58" s="242" t="s">
        <v>1285</v>
      </c>
      <c r="D58" s="31"/>
    </row>
    <row r="59" spans="1:4" ht="15.75" thickBot="1" x14ac:dyDescent="0.3">
      <c r="A59" s="206" t="s">
        <v>1280</v>
      </c>
      <c r="B59" s="57" t="s">
        <v>1282</v>
      </c>
      <c r="C59" s="276" t="s">
        <v>1283</v>
      </c>
      <c r="D59" s="261"/>
    </row>
    <row r="60" spans="1:4" ht="105.75" thickTop="1" x14ac:dyDescent="0.25">
      <c r="A60" s="142" t="s">
        <v>1441</v>
      </c>
      <c r="B60" s="22"/>
      <c r="C60" s="242"/>
      <c r="D60" s="287" t="s">
        <v>764</v>
      </c>
    </row>
    <row r="61" spans="1:4" ht="45" x14ac:dyDescent="0.25">
      <c r="A61" s="17" t="s">
        <v>1444</v>
      </c>
      <c r="B61" s="12" t="s">
        <v>57</v>
      </c>
      <c r="C61" s="12" t="s">
        <v>1286</v>
      </c>
      <c r="D61" s="16"/>
    </row>
    <row r="62" spans="1:4" x14ac:dyDescent="0.25">
      <c r="A62" s="17" t="s">
        <v>1442</v>
      </c>
      <c r="B62" s="12" t="s">
        <v>1445</v>
      </c>
      <c r="C62" s="12" t="s">
        <v>1447</v>
      </c>
      <c r="D62" s="165"/>
    </row>
    <row r="63" spans="1:4" ht="15.75" thickBot="1" x14ac:dyDescent="0.3">
      <c r="A63" s="206" t="s">
        <v>1443</v>
      </c>
      <c r="B63" s="57" t="s">
        <v>1446</v>
      </c>
      <c r="C63" s="57" t="s">
        <v>1448</v>
      </c>
      <c r="D63" s="288"/>
    </row>
    <row r="64" spans="1:4" ht="15.75" thickTop="1" x14ac:dyDescent="0.25">
      <c r="A64" s="142" t="s">
        <v>1440</v>
      </c>
      <c r="B64" s="22"/>
      <c r="C64" s="22"/>
      <c r="D64" s="287"/>
    </row>
    <row r="65" spans="1:4" ht="45" x14ac:dyDescent="0.25">
      <c r="A65" s="13" t="s">
        <v>1304</v>
      </c>
      <c r="B65" s="12"/>
      <c r="C65" s="16"/>
      <c r="D65" s="165" t="s">
        <v>1449</v>
      </c>
    </row>
    <row r="66" spans="1:4" ht="105" x14ac:dyDescent="0.25">
      <c r="A66" s="17" t="s">
        <v>1287</v>
      </c>
      <c r="B66" s="12" t="s">
        <v>1282</v>
      </c>
      <c r="C66" s="242" t="s">
        <v>1283</v>
      </c>
      <c r="D66" s="216" t="s">
        <v>1284</v>
      </c>
    </row>
    <row r="67" spans="1:4" ht="75" x14ac:dyDescent="0.25">
      <c r="A67" s="17" t="s">
        <v>1305</v>
      </c>
      <c r="B67" s="12" t="s">
        <v>1</v>
      </c>
      <c r="C67" s="12" t="s">
        <v>1</v>
      </c>
      <c r="D67" s="165" t="s">
        <v>765</v>
      </c>
    </row>
    <row r="68" spans="1:4" ht="45" x14ac:dyDescent="0.25">
      <c r="A68" s="90" t="s">
        <v>1306</v>
      </c>
      <c r="B68" s="12" t="s">
        <v>59</v>
      </c>
      <c r="C68" s="269">
        <f>DOMZEROIP</f>
        <v>0</v>
      </c>
      <c r="D68" s="31" t="s">
        <v>1451</v>
      </c>
    </row>
    <row r="69" spans="1:4" x14ac:dyDescent="0.25">
      <c r="A69" s="90" t="s">
        <v>1307</v>
      </c>
      <c r="B69" s="12" t="s">
        <v>1297</v>
      </c>
      <c r="C69" s="268">
        <f>DOMZEROHOSTNAME</f>
        <v>0</v>
      </c>
      <c r="D69" s="31"/>
    </row>
    <row r="70" spans="1:4" x14ac:dyDescent="0.25">
      <c r="A70" s="90" t="s">
        <v>1511</v>
      </c>
      <c r="B70" s="12" t="s">
        <v>1512</v>
      </c>
      <c r="C70" s="269">
        <f>CDOMIP</f>
        <v>0</v>
      </c>
      <c r="D70" s="31"/>
    </row>
    <row r="71" spans="1:4" x14ac:dyDescent="0.25">
      <c r="A71" s="90" t="s">
        <v>1513</v>
      </c>
      <c r="B71" s="22" t="s">
        <v>1514</v>
      </c>
      <c r="C71" s="248">
        <f>CDOMHOSTNAME</f>
        <v>0</v>
      </c>
      <c r="D71" s="31"/>
    </row>
    <row r="72" spans="1:4" ht="30" x14ac:dyDescent="0.25">
      <c r="A72" s="90" t="s">
        <v>1638</v>
      </c>
      <c r="B72" s="22" t="s">
        <v>1298</v>
      </c>
      <c r="C72" s="242" t="s">
        <v>1299</v>
      </c>
      <c r="D72" s="31"/>
    </row>
    <row r="73" spans="1:4" ht="60" x14ac:dyDescent="0.25">
      <c r="A73" s="90" t="s">
        <v>1636</v>
      </c>
      <c r="B73" s="22" t="s">
        <v>1288</v>
      </c>
      <c r="C73" s="248">
        <f>SVMIP</f>
        <v>0</v>
      </c>
      <c r="D73" s="165" t="s">
        <v>1213</v>
      </c>
    </row>
    <row r="74" spans="1:4" ht="60" x14ac:dyDescent="0.25">
      <c r="A74" s="90" t="s">
        <v>1637</v>
      </c>
      <c r="B74" s="22" t="s">
        <v>1212</v>
      </c>
      <c r="C74" s="248">
        <f>SVMHOSTNAME</f>
        <v>0</v>
      </c>
      <c r="D74" s="165" t="s">
        <v>1213</v>
      </c>
    </row>
    <row r="75" spans="1:4" x14ac:dyDescent="0.25">
      <c r="A75" s="90" t="s">
        <v>1308</v>
      </c>
      <c r="B75" s="12" t="s">
        <v>62</v>
      </c>
      <c r="C75" s="269">
        <f>DOMZERODEFGW</f>
        <v>0</v>
      </c>
      <c r="D75" s="31"/>
    </row>
    <row r="76" spans="1:4" x14ac:dyDescent="0.25">
      <c r="A76" s="90" t="s">
        <v>1309</v>
      </c>
      <c r="B76" s="12" t="s">
        <v>64</v>
      </c>
      <c r="C76" s="269">
        <f>DOMZERONETMASK</f>
        <v>0</v>
      </c>
      <c r="D76" s="31"/>
    </row>
    <row r="77" spans="1:4" x14ac:dyDescent="0.25">
      <c r="A77" s="90" t="s">
        <v>1310</v>
      </c>
      <c r="B77" s="12" t="s">
        <v>66</v>
      </c>
      <c r="C77" s="71">
        <f>PRIMARYDNSIP</f>
        <v>0</v>
      </c>
      <c r="D77" s="31"/>
    </row>
    <row r="78" spans="1:4" x14ac:dyDescent="0.25">
      <c r="A78" s="90" t="s">
        <v>1311</v>
      </c>
      <c r="B78" s="12" t="s">
        <v>68</v>
      </c>
      <c r="C78" s="71">
        <f>SECONDARYDNSIP</f>
        <v>0</v>
      </c>
      <c r="D78" s="211" t="s">
        <v>298</v>
      </c>
    </row>
    <row r="79" spans="1:4" x14ac:dyDescent="0.25">
      <c r="A79" s="90" t="s">
        <v>1312</v>
      </c>
      <c r="B79" s="12" t="s">
        <v>435</v>
      </c>
      <c r="C79" s="269">
        <f>SRVRDOMAIN</f>
        <v>0</v>
      </c>
      <c r="D79" s="31"/>
    </row>
    <row r="80" spans="1:4" ht="30" x14ac:dyDescent="0.25">
      <c r="A80" s="90" t="s">
        <v>1313</v>
      </c>
      <c r="B80" s="22" t="s">
        <v>1289</v>
      </c>
      <c r="C80" s="248">
        <f>HTTPSPROXY</f>
        <v>0</v>
      </c>
      <c r="D80" s="31"/>
    </row>
    <row r="81" spans="1:4" ht="90" x14ac:dyDescent="0.25">
      <c r="A81" s="90"/>
      <c r="B81" s="22"/>
      <c r="C81" s="242"/>
      <c r="D81" s="29" t="s">
        <v>735</v>
      </c>
    </row>
    <row r="82" spans="1:4" ht="30" x14ac:dyDescent="0.25">
      <c r="A82" s="13" t="s">
        <v>125</v>
      </c>
      <c r="B82" s="12" t="s">
        <v>69</v>
      </c>
      <c r="C82" s="68">
        <f>CMIP</f>
        <v>0</v>
      </c>
      <c r="D82" s="16"/>
    </row>
    <row r="83" spans="1:4" ht="30" x14ac:dyDescent="0.25">
      <c r="A83" s="13" t="s">
        <v>436</v>
      </c>
      <c r="B83" s="12" t="s">
        <v>70</v>
      </c>
      <c r="C83" s="268">
        <f>CMHOSTNAME</f>
        <v>0</v>
      </c>
      <c r="D83" s="29"/>
    </row>
    <row r="84" spans="1:4" x14ac:dyDescent="0.25">
      <c r="A84" s="13" t="s">
        <v>126</v>
      </c>
      <c r="B84" s="12" t="s">
        <v>38</v>
      </c>
      <c r="C84" s="268">
        <f>USIP</f>
        <v>0</v>
      </c>
      <c r="D84" s="29"/>
    </row>
    <row r="85" spans="1:4" x14ac:dyDescent="0.25">
      <c r="A85" s="13" t="s">
        <v>437</v>
      </c>
      <c r="B85" s="12" t="s">
        <v>71</v>
      </c>
      <c r="C85" s="268">
        <f>USHOSTNAME</f>
        <v>0</v>
      </c>
      <c r="D85" s="29"/>
    </row>
    <row r="86" spans="1:4" ht="30" x14ac:dyDescent="0.25">
      <c r="A86" s="13" t="s">
        <v>1316</v>
      </c>
      <c r="B86" s="12" t="s">
        <v>1314</v>
      </c>
      <c r="C86" s="268">
        <f>AESIP</f>
        <v>0</v>
      </c>
      <c r="D86" s="29"/>
    </row>
    <row r="87" spans="1:4" ht="30" x14ac:dyDescent="0.25">
      <c r="A87" s="13" t="s">
        <v>1317</v>
      </c>
      <c r="B87" s="12" t="s">
        <v>1315</v>
      </c>
      <c r="C87" s="268">
        <f>AESHOSTNAME</f>
        <v>0</v>
      </c>
      <c r="D87" s="29"/>
    </row>
    <row r="88" spans="1:4" ht="30" x14ac:dyDescent="0.25">
      <c r="A88" s="13" t="s">
        <v>127</v>
      </c>
      <c r="B88" s="12" t="s">
        <v>1318</v>
      </c>
      <c r="C88" s="268">
        <f>SMIP</f>
        <v>0</v>
      </c>
      <c r="D88" s="29"/>
    </row>
    <row r="89" spans="1:4" ht="30" x14ac:dyDescent="0.25">
      <c r="A89" s="13" t="s">
        <v>438</v>
      </c>
      <c r="B89" s="12" t="s">
        <v>1319</v>
      </c>
      <c r="C89" s="268">
        <f>SMHOSTNAME</f>
        <v>0</v>
      </c>
      <c r="D89" s="29"/>
    </row>
    <row r="90" spans="1:4" ht="30" x14ac:dyDescent="0.25">
      <c r="A90" s="13" t="s">
        <v>1320</v>
      </c>
      <c r="B90" s="12" t="s">
        <v>1321</v>
      </c>
      <c r="C90" s="268">
        <f>SMENTITYIP</f>
        <v>0</v>
      </c>
      <c r="D90" s="29"/>
    </row>
    <row r="91" spans="1:4" ht="30" x14ac:dyDescent="0.25">
      <c r="A91" s="13" t="s">
        <v>514</v>
      </c>
      <c r="B91" s="12" t="s">
        <v>132</v>
      </c>
      <c r="C91" s="268">
        <f>PS6IP</f>
        <v>0</v>
      </c>
      <c r="D91" s="29"/>
    </row>
    <row r="92" spans="1:4" ht="30" x14ac:dyDescent="0.25">
      <c r="A92" s="13" t="s">
        <v>513</v>
      </c>
      <c r="B92" s="12" t="s">
        <v>133</v>
      </c>
      <c r="C92" s="268">
        <f>PSHOSTNAME</f>
        <v>0</v>
      </c>
      <c r="D92" s="29"/>
    </row>
    <row r="93" spans="1:4" ht="30" x14ac:dyDescent="0.25">
      <c r="A93" s="13" t="s">
        <v>128</v>
      </c>
      <c r="B93" s="12" t="s">
        <v>72</v>
      </c>
      <c r="C93" s="268">
        <f>SMGRIP</f>
        <v>0</v>
      </c>
      <c r="D93" s="29"/>
    </row>
    <row r="94" spans="1:4" ht="30" x14ac:dyDescent="0.25">
      <c r="A94" s="17" t="s">
        <v>176</v>
      </c>
      <c r="B94" s="12" t="s">
        <v>73</v>
      </c>
      <c r="C94" s="68">
        <f>SMGRHOSTNAME</f>
        <v>0</v>
      </c>
      <c r="D94" s="29"/>
    </row>
    <row r="95" spans="1:4" ht="30" x14ac:dyDescent="0.25">
      <c r="A95" s="13" t="s">
        <v>443</v>
      </c>
      <c r="B95" s="12" t="s">
        <v>48</v>
      </c>
      <c r="C95" s="68">
        <f>SRVRDOMAIN</f>
        <v>0</v>
      </c>
      <c r="D95" s="29" t="s">
        <v>129</v>
      </c>
    </row>
    <row r="96" spans="1:4" ht="45" x14ac:dyDescent="0.25">
      <c r="A96" s="13" t="s">
        <v>444</v>
      </c>
      <c r="B96" s="12" t="s">
        <v>445</v>
      </c>
      <c r="C96" s="36" t="s">
        <v>309</v>
      </c>
      <c r="D96" s="29" t="s">
        <v>446</v>
      </c>
    </row>
    <row r="97" spans="1:4" ht="15.75" thickBot="1" x14ac:dyDescent="0.3">
      <c r="A97" s="156" t="s">
        <v>74</v>
      </c>
      <c r="B97" s="59" t="s">
        <v>75</v>
      </c>
      <c r="C97" s="249" t="s">
        <v>763</v>
      </c>
      <c r="D97" s="61"/>
    </row>
    <row r="98" spans="1:4" ht="75.75" thickTop="1" x14ac:dyDescent="0.25">
      <c r="A98" s="214" t="s">
        <v>1337</v>
      </c>
      <c r="B98" s="215" t="s">
        <v>1338</v>
      </c>
      <c r="C98" s="254" t="s">
        <v>1339</v>
      </c>
      <c r="D98" s="95" t="s">
        <v>1653</v>
      </c>
    </row>
    <row r="99" spans="1:4" ht="30" x14ac:dyDescent="0.25">
      <c r="A99" s="90" t="s">
        <v>1340</v>
      </c>
      <c r="B99" s="22" t="s">
        <v>1341</v>
      </c>
      <c r="C99" s="242" t="s">
        <v>1342</v>
      </c>
      <c r="D99" s="31"/>
    </row>
    <row r="100" spans="1:4" ht="15.75" thickBot="1" x14ac:dyDescent="0.3">
      <c r="A100" s="203" t="s">
        <v>74</v>
      </c>
      <c r="B100" s="57" t="s">
        <v>75</v>
      </c>
      <c r="C100" s="261" t="s">
        <v>763</v>
      </c>
      <c r="D100" s="54"/>
    </row>
    <row r="101" spans="1:4" ht="45.75" thickTop="1" x14ac:dyDescent="0.25">
      <c r="A101" s="90" t="s">
        <v>1375</v>
      </c>
      <c r="B101" s="215" t="s">
        <v>1</v>
      </c>
      <c r="C101" s="22" t="s">
        <v>1</v>
      </c>
      <c r="D101" s="267" t="s">
        <v>1461</v>
      </c>
    </row>
    <row r="102" spans="1:4" x14ac:dyDescent="0.25">
      <c r="A102" s="90" t="s">
        <v>1374</v>
      </c>
      <c r="B102" s="22" t="s">
        <v>78</v>
      </c>
      <c r="C102" s="68">
        <f>ROOTPASSCONF</f>
        <v>0</v>
      </c>
      <c r="D102" s="212"/>
    </row>
    <row r="103" spans="1:4" x14ac:dyDescent="0.25">
      <c r="A103" s="90" t="s">
        <v>1326</v>
      </c>
      <c r="B103" s="22" t="s">
        <v>80</v>
      </c>
      <c r="C103" s="248">
        <f>ROOTPASSCONF</f>
        <v>0</v>
      </c>
      <c r="D103" s="31"/>
    </row>
    <row r="104" spans="1:4" x14ac:dyDescent="0.25">
      <c r="A104" s="90" t="s">
        <v>1327</v>
      </c>
      <c r="B104" s="22" t="s">
        <v>78</v>
      </c>
      <c r="C104" s="248">
        <f>ADMINPASSCONF</f>
        <v>0</v>
      </c>
      <c r="D104" s="31"/>
    </row>
    <row r="105" spans="1:4" x14ac:dyDescent="0.25">
      <c r="A105" s="90" t="s">
        <v>1328</v>
      </c>
      <c r="B105" s="22" t="s">
        <v>80</v>
      </c>
      <c r="C105" s="248">
        <f>ADMINPASSCONF</f>
        <v>0</v>
      </c>
      <c r="D105" s="31"/>
    </row>
    <row r="106" spans="1:4" x14ac:dyDescent="0.25">
      <c r="A106" s="90" t="s">
        <v>1329</v>
      </c>
      <c r="B106" s="22" t="s">
        <v>78</v>
      </c>
      <c r="C106" s="248">
        <f>CUSTPASSCONF</f>
        <v>0</v>
      </c>
      <c r="D106" s="31"/>
    </row>
    <row r="107" spans="1:4" x14ac:dyDescent="0.25">
      <c r="A107" s="90" t="s">
        <v>1330</v>
      </c>
      <c r="B107" s="22" t="s">
        <v>80</v>
      </c>
      <c r="C107" s="248">
        <f>CUSTPASSCONF</f>
        <v>0</v>
      </c>
      <c r="D107" s="31"/>
    </row>
    <row r="108" spans="1:4" x14ac:dyDescent="0.25">
      <c r="A108" s="90" t="s">
        <v>1331</v>
      </c>
      <c r="B108" s="22" t="s">
        <v>78</v>
      </c>
      <c r="C108" s="248">
        <f>LDAPPASSCONF</f>
        <v>0</v>
      </c>
      <c r="D108" s="31"/>
    </row>
    <row r="109" spans="1:4" x14ac:dyDescent="0.25">
      <c r="A109" s="90" t="s">
        <v>1332</v>
      </c>
      <c r="B109" s="22" t="s">
        <v>80</v>
      </c>
      <c r="C109" s="248">
        <f>LDAPPASSCONF</f>
        <v>0</v>
      </c>
      <c r="D109" s="31"/>
    </row>
    <row r="110" spans="1:4" ht="30" x14ac:dyDescent="0.25">
      <c r="A110" s="13" t="s">
        <v>1466</v>
      </c>
      <c r="B110" s="12" t="s">
        <v>76</v>
      </c>
      <c r="C110" s="268">
        <f>CUSTUSERNAME</f>
        <v>0</v>
      </c>
      <c r="D110" s="211" t="s">
        <v>1639</v>
      </c>
    </row>
    <row r="111" spans="1:4" ht="30" x14ac:dyDescent="0.25">
      <c r="A111" s="13" t="s">
        <v>1334</v>
      </c>
      <c r="B111" s="12" t="s">
        <v>78</v>
      </c>
      <c r="C111" s="268">
        <f>CUSTPASSWORD</f>
        <v>0</v>
      </c>
      <c r="D111" s="211" t="s">
        <v>1640</v>
      </c>
    </row>
    <row r="112" spans="1:4" x14ac:dyDescent="0.25">
      <c r="A112" s="13" t="s">
        <v>1335</v>
      </c>
      <c r="B112" s="12" t="s">
        <v>80</v>
      </c>
      <c r="C112" s="268">
        <f>CUSTPASSWORD</f>
        <v>0</v>
      </c>
      <c r="D112" s="29"/>
    </row>
    <row r="113" spans="1:4" ht="30" x14ac:dyDescent="0.25">
      <c r="A113" s="13" t="s">
        <v>1343</v>
      </c>
      <c r="B113" s="12" t="s">
        <v>76</v>
      </c>
      <c r="C113" s="270" t="s">
        <v>1344</v>
      </c>
      <c r="D113" s="29"/>
    </row>
    <row r="114" spans="1:4" x14ac:dyDescent="0.25">
      <c r="A114" s="13" t="s">
        <v>448</v>
      </c>
      <c r="B114" s="12" t="s">
        <v>78</v>
      </c>
      <c r="C114" s="268">
        <f>SMGRUSERPW</f>
        <v>0</v>
      </c>
      <c r="D114" s="29"/>
    </row>
    <row r="115" spans="1:4" x14ac:dyDescent="0.25">
      <c r="A115" s="13" t="s">
        <v>1333</v>
      </c>
      <c r="B115" s="12" t="s">
        <v>80</v>
      </c>
      <c r="C115" s="268">
        <f>SMGRUSERPW</f>
        <v>0</v>
      </c>
      <c r="D115" s="29"/>
    </row>
    <row r="116" spans="1:4" ht="30" x14ac:dyDescent="0.25">
      <c r="A116" s="13" t="s">
        <v>1336</v>
      </c>
      <c r="B116" s="12" t="s">
        <v>40</v>
      </c>
      <c r="C116" s="23" t="s">
        <v>41</v>
      </c>
      <c r="D116" s="211" t="s">
        <v>1641</v>
      </c>
    </row>
    <row r="117" spans="1:4" ht="45" x14ac:dyDescent="0.25">
      <c r="A117" s="13" t="s">
        <v>1345</v>
      </c>
      <c r="B117" s="12" t="s">
        <v>762</v>
      </c>
      <c r="C117" s="12" t="s">
        <v>762</v>
      </c>
      <c r="D117" s="211" t="s">
        <v>1642</v>
      </c>
    </row>
    <row r="118" spans="1:4" ht="15.75" thickBot="1" x14ac:dyDescent="0.3">
      <c r="A118" s="156" t="s">
        <v>74</v>
      </c>
      <c r="B118" s="59" t="s">
        <v>75</v>
      </c>
      <c r="C118" s="249" t="s">
        <v>763</v>
      </c>
      <c r="D118" s="61"/>
    </row>
    <row r="119" spans="1:4" ht="15.75" thickTop="1" x14ac:dyDescent="0.25">
      <c r="A119" s="301" t="s">
        <v>1346</v>
      </c>
      <c r="B119" s="215" t="s">
        <v>82</v>
      </c>
      <c r="C119" s="271">
        <f>COUNTRY</f>
        <v>0</v>
      </c>
      <c r="D119" s="95"/>
    </row>
    <row r="120" spans="1:4" ht="15.75" thickBot="1" x14ac:dyDescent="0.3">
      <c r="A120" s="203" t="s">
        <v>74</v>
      </c>
      <c r="B120" s="57" t="s">
        <v>75</v>
      </c>
      <c r="C120" s="261" t="s">
        <v>763</v>
      </c>
      <c r="D120" s="54"/>
    </row>
    <row r="121" spans="1:4" ht="60.75" thickTop="1" x14ac:dyDescent="0.25">
      <c r="A121" s="256" t="s">
        <v>1349</v>
      </c>
      <c r="B121" s="215"/>
      <c r="C121" s="260"/>
      <c r="D121" s="253" t="s">
        <v>987</v>
      </c>
    </row>
    <row r="122" spans="1:4" ht="45" x14ac:dyDescent="0.25">
      <c r="A122" s="90" t="s">
        <v>974</v>
      </c>
      <c r="B122" s="22" t="s">
        <v>975</v>
      </c>
      <c r="C122" s="22" t="s">
        <v>976</v>
      </c>
      <c r="D122" s="216" t="s">
        <v>977</v>
      </c>
    </row>
    <row r="123" spans="1:4" ht="30" x14ac:dyDescent="0.25">
      <c r="A123" s="17" t="s">
        <v>1452</v>
      </c>
      <c r="B123" s="12" t="s">
        <v>1454</v>
      </c>
      <c r="C123" s="71">
        <f>DHCP_STARTING</f>
        <v>0</v>
      </c>
      <c r="D123" s="29"/>
    </row>
    <row r="124" spans="1:4" ht="30" x14ac:dyDescent="0.25">
      <c r="A124" s="17" t="s">
        <v>1453</v>
      </c>
      <c r="B124" s="12" t="s">
        <v>1455</v>
      </c>
      <c r="C124" s="71">
        <f>DHCP_ENDING</f>
        <v>0</v>
      </c>
      <c r="D124" s="29"/>
    </row>
    <row r="125" spans="1:4" ht="15.75" thickBot="1" x14ac:dyDescent="0.3">
      <c r="A125" s="213" t="s">
        <v>74</v>
      </c>
      <c r="B125" s="173" t="s">
        <v>75</v>
      </c>
      <c r="C125" s="262" t="s">
        <v>763</v>
      </c>
      <c r="D125" s="250"/>
    </row>
    <row r="126" spans="1:4" ht="30.75" thickTop="1" x14ac:dyDescent="0.25">
      <c r="A126" s="301" t="s">
        <v>1347</v>
      </c>
      <c r="B126" s="215" t="s">
        <v>86</v>
      </c>
      <c r="C126" s="215" t="s">
        <v>1463</v>
      </c>
      <c r="D126" s="95"/>
    </row>
    <row r="127" spans="1:4" ht="15.75" thickBot="1" x14ac:dyDescent="0.3">
      <c r="A127" s="203" t="s">
        <v>74</v>
      </c>
      <c r="B127" s="57" t="s">
        <v>75</v>
      </c>
      <c r="C127" s="261" t="s">
        <v>763</v>
      </c>
      <c r="D127" s="54"/>
    </row>
    <row r="128" spans="1:4" ht="30.75" thickTop="1" x14ac:dyDescent="0.25">
      <c r="A128" s="91" t="s">
        <v>1348</v>
      </c>
      <c r="B128" s="22" t="s">
        <v>1351</v>
      </c>
      <c r="C128" s="272">
        <f>MEDIAGWTYPE</f>
        <v>0</v>
      </c>
      <c r="D128" s="31"/>
    </row>
    <row r="129" spans="1:4" x14ac:dyDescent="0.25">
      <c r="A129" s="13" t="s">
        <v>594</v>
      </c>
      <c r="B129" s="12" t="s">
        <v>89</v>
      </c>
      <c r="C129" s="268">
        <f>MEDIAGWSERNO</f>
        <v>0</v>
      </c>
      <c r="D129" s="29"/>
    </row>
    <row r="130" spans="1:4" x14ac:dyDescent="0.25">
      <c r="A130" s="13" t="s">
        <v>90</v>
      </c>
      <c r="B130" s="12" t="s">
        <v>91</v>
      </c>
      <c r="C130" s="16" t="s">
        <v>1</v>
      </c>
      <c r="D130" s="29"/>
    </row>
    <row r="131" spans="1:4" ht="15.75" thickBot="1" x14ac:dyDescent="0.3">
      <c r="A131" s="203" t="s">
        <v>74</v>
      </c>
      <c r="B131" s="57" t="s">
        <v>75</v>
      </c>
      <c r="C131" s="261" t="s">
        <v>763</v>
      </c>
      <c r="D131" s="54"/>
    </row>
    <row r="132" spans="1:4" ht="90.75" thickTop="1" x14ac:dyDescent="0.25">
      <c r="A132" s="91" t="s">
        <v>1350</v>
      </c>
      <c r="B132" s="22" t="s">
        <v>93</v>
      </c>
      <c r="C132" s="248">
        <f>DIALPLANLENGTH</f>
        <v>0</v>
      </c>
      <c r="D132" s="216" t="s">
        <v>988</v>
      </c>
    </row>
    <row r="133" spans="1:4" ht="75" x14ac:dyDescent="0.25">
      <c r="A133" s="13" t="s">
        <v>736</v>
      </c>
      <c r="B133" s="12" t="s">
        <v>1352</v>
      </c>
      <c r="C133" s="36" t="s">
        <v>1353</v>
      </c>
      <c r="D133" s="29" t="s">
        <v>1061</v>
      </c>
    </row>
    <row r="134" spans="1:4" ht="30" x14ac:dyDescent="0.25">
      <c r="A134" s="13" t="s">
        <v>1062</v>
      </c>
      <c r="B134" s="12" t="s">
        <v>1354</v>
      </c>
      <c r="C134" s="36" t="s">
        <v>1355</v>
      </c>
      <c r="D134" s="16"/>
    </row>
    <row r="135" spans="1:4" ht="30" x14ac:dyDescent="0.25">
      <c r="A135" s="13" t="s">
        <v>1357</v>
      </c>
      <c r="B135" s="12" t="s">
        <v>1356</v>
      </c>
      <c r="C135" s="36" t="s">
        <v>1355</v>
      </c>
      <c r="D135" s="29" t="s">
        <v>1063</v>
      </c>
    </row>
    <row r="136" spans="1:4" ht="15.75" thickBot="1" x14ac:dyDescent="0.3">
      <c r="A136" s="203" t="s">
        <v>74</v>
      </c>
      <c r="B136" s="57" t="s">
        <v>75</v>
      </c>
      <c r="C136" s="261" t="s">
        <v>763</v>
      </c>
      <c r="D136" s="54"/>
    </row>
    <row r="137" spans="1:4" ht="15.75" thickTop="1" x14ac:dyDescent="0.25">
      <c r="A137" s="91" t="s">
        <v>1358</v>
      </c>
      <c r="B137" s="22" t="s">
        <v>1</v>
      </c>
      <c r="C137" s="263" t="s">
        <v>1</v>
      </c>
      <c r="D137" s="31"/>
    </row>
    <row r="138" spans="1:4" ht="15.75" thickBot="1" x14ac:dyDescent="0.3">
      <c r="A138" s="203" t="s">
        <v>74</v>
      </c>
      <c r="B138" s="57" t="s">
        <v>75</v>
      </c>
      <c r="C138" s="261" t="s">
        <v>763</v>
      </c>
      <c r="D138" s="54"/>
    </row>
    <row r="139" spans="1:4" ht="30.75" thickTop="1" x14ac:dyDescent="0.25">
      <c r="A139" s="64" t="s">
        <v>1361</v>
      </c>
      <c r="B139" s="31" t="s">
        <v>78</v>
      </c>
      <c r="C139" s="248">
        <f>ENROLLPASSWD</f>
        <v>0</v>
      </c>
      <c r="D139" s="31"/>
    </row>
    <row r="140" spans="1:4" x14ac:dyDescent="0.25">
      <c r="A140" s="32" t="s">
        <v>1359</v>
      </c>
      <c r="B140" s="29" t="s">
        <v>80</v>
      </c>
      <c r="C140" s="68">
        <f>ENROLLPASSWD</f>
        <v>0</v>
      </c>
      <c r="D140" s="29"/>
    </row>
    <row r="141" spans="1:4" x14ac:dyDescent="0.25">
      <c r="A141" s="13" t="s">
        <v>453</v>
      </c>
      <c r="B141" s="12" t="s">
        <v>1360</v>
      </c>
      <c r="C141" s="268">
        <f>SIPDOMAIN</f>
        <v>0</v>
      </c>
      <c r="D141" s="29"/>
    </row>
    <row r="142" spans="1:4" ht="15.75" thickBot="1" x14ac:dyDescent="0.3">
      <c r="A142" s="203" t="s">
        <v>74</v>
      </c>
      <c r="B142" s="57" t="s">
        <v>75</v>
      </c>
      <c r="C142" s="261" t="s">
        <v>763</v>
      </c>
      <c r="D142" s="54"/>
    </row>
    <row r="143" spans="1:4" ht="30.75" thickTop="1" x14ac:dyDescent="0.25">
      <c r="A143" s="91" t="s">
        <v>1363</v>
      </c>
      <c r="B143" s="22" t="s">
        <v>195</v>
      </c>
      <c r="C143" s="272">
        <f>SPTIMEZONE</f>
        <v>0</v>
      </c>
      <c r="D143" s="31"/>
    </row>
    <row r="144" spans="1:4" x14ac:dyDescent="0.25">
      <c r="A144" s="13" t="s">
        <v>1362</v>
      </c>
      <c r="B144" s="12" t="s">
        <v>457</v>
      </c>
      <c r="C144" s="268">
        <f>LOCATIONNAME</f>
        <v>0</v>
      </c>
      <c r="D144" s="29"/>
    </row>
    <row r="145" spans="1:4" ht="60" x14ac:dyDescent="0.25">
      <c r="A145" s="13" t="s">
        <v>1114</v>
      </c>
      <c r="B145" s="12" t="s">
        <v>1115</v>
      </c>
      <c r="C145" s="36" t="s">
        <v>309</v>
      </c>
      <c r="D145" s="227" t="s">
        <v>1116</v>
      </c>
    </row>
    <row r="146" spans="1:4" ht="30" x14ac:dyDescent="0.25">
      <c r="A146" s="13" t="s">
        <v>1364</v>
      </c>
      <c r="B146" s="12" t="s">
        <v>1118</v>
      </c>
      <c r="C146" s="36" t="s">
        <v>1119</v>
      </c>
      <c r="D146" s="29"/>
    </row>
    <row r="147" spans="1:4" ht="15.75" thickBot="1" x14ac:dyDescent="0.3">
      <c r="A147" s="203" t="s">
        <v>74</v>
      </c>
      <c r="B147" s="57" t="s">
        <v>75</v>
      </c>
      <c r="C147" s="261" t="s">
        <v>763</v>
      </c>
      <c r="D147" s="54"/>
    </row>
    <row r="148" spans="1:4" ht="60.75" thickTop="1" x14ac:dyDescent="0.25">
      <c r="A148" s="13" t="s">
        <v>1365</v>
      </c>
      <c r="B148" s="12" t="s">
        <v>1141</v>
      </c>
      <c r="C148" s="268">
        <f>PS_ROUTERSERVICENAME</f>
        <v>0</v>
      </c>
      <c r="D148" s="29" t="s">
        <v>1142</v>
      </c>
    </row>
    <row r="149" spans="1:4" ht="15.75" thickBot="1" x14ac:dyDescent="0.3">
      <c r="A149" s="203" t="s">
        <v>74</v>
      </c>
      <c r="B149" s="57" t="s">
        <v>75</v>
      </c>
      <c r="C149" s="261" t="s">
        <v>763</v>
      </c>
      <c r="D149" s="54"/>
    </row>
    <row r="150" spans="1:4" ht="15.75" thickTop="1" x14ac:dyDescent="0.25">
      <c r="A150" s="13" t="s">
        <v>1366</v>
      </c>
      <c r="B150" s="12" t="s">
        <v>1082</v>
      </c>
      <c r="C150" s="71">
        <f>SNMP_UNPREFIX</f>
        <v>0</v>
      </c>
      <c r="D150" s="29"/>
    </row>
    <row r="151" spans="1:4" ht="30" x14ac:dyDescent="0.25">
      <c r="A151" s="13" t="s">
        <v>1090</v>
      </c>
      <c r="B151" s="12" t="s">
        <v>1083</v>
      </c>
      <c r="C151" s="71">
        <f>SNMP_AUTH_PASS</f>
        <v>0</v>
      </c>
      <c r="D151" s="29"/>
    </row>
    <row r="152" spans="1:4" ht="30" x14ac:dyDescent="0.25">
      <c r="A152" s="13" t="s">
        <v>1643</v>
      </c>
      <c r="B152" s="12" t="s">
        <v>1083</v>
      </c>
      <c r="C152" s="71">
        <f>SNMP_AUTH_PASS</f>
        <v>0</v>
      </c>
      <c r="D152" s="29"/>
    </row>
    <row r="153" spans="1:4" x14ac:dyDescent="0.25">
      <c r="A153" s="13" t="s">
        <v>1091</v>
      </c>
      <c r="B153" s="12" t="s">
        <v>1084</v>
      </c>
      <c r="C153" s="71">
        <f>SNMP_PRIV_PASS</f>
        <v>0</v>
      </c>
      <c r="D153" s="29"/>
    </row>
    <row r="154" spans="1:4" x14ac:dyDescent="0.25">
      <c r="A154" s="156" t="s">
        <v>1644</v>
      </c>
      <c r="B154" s="12" t="s">
        <v>1084</v>
      </c>
      <c r="C154" s="365">
        <f>SNMP_PRIV_PASS</f>
        <v>0</v>
      </c>
      <c r="D154" s="61"/>
    </row>
    <row r="155" spans="1:4" ht="15.75" thickBot="1" x14ac:dyDescent="0.3">
      <c r="A155" s="203" t="s">
        <v>1085</v>
      </c>
      <c r="B155" s="57" t="s">
        <v>75</v>
      </c>
      <c r="C155" s="57" t="s">
        <v>763</v>
      </c>
      <c r="D155" s="54"/>
    </row>
    <row r="156" spans="1:4" ht="30.75" thickTop="1" x14ac:dyDescent="0.25">
      <c r="A156" s="213" t="s">
        <v>1367</v>
      </c>
      <c r="B156" s="173"/>
      <c r="C156" s="173"/>
      <c r="D156" s="250" t="s">
        <v>1368</v>
      </c>
    </row>
    <row r="157" spans="1:4" ht="15.75" thickBot="1" x14ac:dyDescent="0.3">
      <c r="A157" s="203" t="s">
        <v>1085</v>
      </c>
      <c r="B157" s="57" t="s">
        <v>75</v>
      </c>
      <c r="C157" s="57" t="s">
        <v>763</v>
      </c>
      <c r="D157" s="54"/>
    </row>
    <row r="158" spans="1:4" ht="150.75" thickTop="1" x14ac:dyDescent="0.25">
      <c r="A158" s="90" t="s">
        <v>95</v>
      </c>
      <c r="B158" s="22" t="s">
        <v>1</v>
      </c>
      <c r="C158" s="22" t="s">
        <v>1</v>
      </c>
      <c r="D158" s="64" t="s">
        <v>522</v>
      </c>
    </row>
    <row r="159" spans="1:4" ht="15.75" thickBot="1" x14ac:dyDescent="0.3">
      <c r="A159" s="203" t="s">
        <v>74</v>
      </c>
      <c r="B159" s="57" t="s">
        <v>75</v>
      </c>
      <c r="C159" s="261" t="s">
        <v>763</v>
      </c>
      <c r="D159" s="54"/>
    </row>
    <row r="160" spans="1:4" ht="15.75" thickTop="1" x14ac:dyDescent="0.25">
      <c r="A160" s="13" t="s">
        <v>737</v>
      </c>
      <c r="B160" s="12" t="s">
        <v>96</v>
      </c>
      <c r="C160" s="16" t="s">
        <v>1</v>
      </c>
      <c r="D160" s="29"/>
    </row>
    <row r="161" spans="1:4" x14ac:dyDescent="0.25">
      <c r="A161" s="13" t="s">
        <v>738</v>
      </c>
      <c r="B161" s="12" t="s">
        <v>97</v>
      </c>
      <c r="C161" s="16" t="s">
        <v>1</v>
      </c>
      <c r="D161" s="29"/>
    </row>
    <row r="162" spans="1:4" ht="330" x14ac:dyDescent="0.25">
      <c r="A162" s="17" t="s">
        <v>248</v>
      </c>
      <c r="B162" s="12" t="s">
        <v>1</v>
      </c>
      <c r="C162" s="12" t="s">
        <v>1</v>
      </c>
      <c r="D162" s="85" t="s">
        <v>1515</v>
      </c>
    </row>
    <row r="163" spans="1:4" ht="45" x14ac:dyDescent="0.25">
      <c r="A163" s="13" t="s">
        <v>1015</v>
      </c>
      <c r="B163" s="12" t="s">
        <v>215</v>
      </c>
      <c r="C163" s="68" t="str">
        <f>CONCATENATE("admin/",ADMINPASS)</f>
        <v>admin/</v>
      </c>
      <c r="D163" s="29" t="s">
        <v>1020</v>
      </c>
    </row>
    <row r="164" spans="1:4" ht="30" x14ac:dyDescent="0.25">
      <c r="A164" s="17" t="s">
        <v>1017</v>
      </c>
      <c r="B164" s="12" t="s">
        <v>1016</v>
      </c>
      <c r="C164" s="36" t="s">
        <v>1018</v>
      </c>
      <c r="D164" s="29"/>
    </row>
    <row r="165" spans="1:4" ht="45" x14ac:dyDescent="0.25">
      <c r="A165" s="17" t="s">
        <v>1021</v>
      </c>
      <c r="B165" s="12"/>
      <c r="C165" s="36"/>
      <c r="D165" s="29"/>
    </row>
  </sheetData>
  <sheetProtection sheet="1" objects="1" scenarios="1"/>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79"/>
  <sheetViews>
    <sheetView zoomScaleNormal="100" workbookViewId="0">
      <pane ySplit="1" topLeftCell="A77" activePane="bottomLeft" state="frozen"/>
      <selection activeCell="C89" sqref="C89"/>
      <selection pane="bottomLeft" activeCell="A56" sqref="A56"/>
    </sheetView>
  </sheetViews>
  <sheetFormatPr defaultRowHeight="15" x14ac:dyDescent="0.25"/>
  <cols>
    <col min="1" max="1" width="55.140625" style="351" customWidth="1"/>
    <col min="2" max="2" width="25" style="1" customWidth="1"/>
    <col min="3" max="3" width="40.5703125" style="1" customWidth="1"/>
    <col min="4" max="4" width="36.7109375" customWidth="1"/>
  </cols>
  <sheetData>
    <row r="1" spans="1:4" ht="15.75" thickBot="1" x14ac:dyDescent="0.3">
      <c r="A1" s="354" t="s">
        <v>11</v>
      </c>
      <c r="B1" s="43" t="s">
        <v>3</v>
      </c>
      <c r="C1" s="43" t="s">
        <v>193</v>
      </c>
      <c r="D1" s="84" t="s">
        <v>122</v>
      </c>
    </row>
    <row r="2" spans="1:4" ht="30.75" thickTop="1" x14ac:dyDescent="0.25">
      <c r="A2" s="194" t="s">
        <v>997</v>
      </c>
      <c r="B2" s="6"/>
      <c r="C2" s="6"/>
      <c r="D2" s="312"/>
    </row>
    <row r="3" spans="1:4" ht="48" customHeight="1" x14ac:dyDescent="0.25">
      <c r="A3" s="17" t="s">
        <v>994</v>
      </c>
      <c r="B3" s="12" t="s">
        <v>995</v>
      </c>
      <c r="C3" s="12" t="s">
        <v>996</v>
      </c>
      <c r="D3" s="313"/>
    </row>
    <row r="4" spans="1:4" x14ac:dyDescent="0.25">
      <c r="A4" s="169" t="s">
        <v>1001</v>
      </c>
      <c r="B4" s="6" t="s">
        <v>999</v>
      </c>
      <c r="C4" s="69" t="str">
        <f>CONCATENATE("ping ",DOMZEROIP)</f>
        <v xml:space="preserve">ping </v>
      </c>
      <c r="D4" s="314" t="s">
        <v>1000</v>
      </c>
    </row>
    <row r="5" spans="1:4" x14ac:dyDescent="0.25">
      <c r="A5" s="169" t="s">
        <v>1002</v>
      </c>
      <c r="B5" s="6" t="s">
        <v>999</v>
      </c>
      <c r="C5" s="69" t="str">
        <f>CONCATENATE("ping ",CDOMIP)</f>
        <v xml:space="preserve">ping </v>
      </c>
      <c r="D5" s="314" t="s">
        <v>1000</v>
      </c>
    </row>
    <row r="6" spans="1:4" ht="60" x14ac:dyDescent="0.25">
      <c r="A6" s="169" t="s">
        <v>646</v>
      </c>
      <c r="B6" s="12" t="s">
        <v>1</v>
      </c>
      <c r="C6" s="12" t="s">
        <v>1</v>
      </c>
      <c r="D6" s="315" t="s">
        <v>998</v>
      </c>
    </row>
    <row r="7" spans="1:4" x14ac:dyDescent="0.25">
      <c r="A7" s="355" t="s">
        <v>523</v>
      </c>
      <c r="B7" s="89"/>
      <c r="C7" s="89"/>
      <c r="D7" s="73"/>
    </row>
    <row r="8" spans="1:4" ht="135" x14ac:dyDescent="0.25">
      <c r="A8" s="180" t="s">
        <v>701</v>
      </c>
      <c r="B8" s="89" t="s">
        <v>1</v>
      </c>
      <c r="C8" s="22" t="s">
        <v>699</v>
      </c>
      <c r="D8" s="92" t="s">
        <v>700</v>
      </c>
    </row>
    <row r="9" spans="1:4" ht="90" x14ac:dyDescent="0.25">
      <c r="A9" s="90" t="s">
        <v>1537</v>
      </c>
      <c r="B9" s="22" t="s">
        <v>1</v>
      </c>
      <c r="C9" s="22" t="s">
        <v>1538</v>
      </c>
      <c r="D9" s="73" t="s">
        <v>751</v>
      </c>
    </row>
    <row r="10" spans="1:4" ht="75" x14ac:dyDescent="0.25">
      <c r="A10" s="17" t="s">
        <v>752</v>
      </c>
      <c r="B10" s="11" t="s">
        <v>1</v>
      </c>
      <c r="C10" s="12" t="s">
        <v>702</v>
      </c>
      <c r="D10" s="72" t="s">
        <v>753</v>
      </c>
    </row>
    <row r="11" spans="1:4" x14ac:dyDescent="0.25">
      <c r="A11" s="169" t="s">
        <v>13</v>
      </c>
      <c r="B11" s="6" t="s">
        <v>13</v>
      </c>
      <c r="C11" s="67">
        <f>KEYBDTYPE</f>
        <v>0</v>
      </c>
      <c r="D11" s="72"/>
    </row>
    <row r="12" spans="1:4" x14ac:dyDescent="0.25">
      <c r="A12" s="169" t="s">
        <v>281</v>
      </c>
      <c r="B12" s="6" t="s">
        <v>1</v>
      </c>
      <c r="C12" s="6" t="s">
        <v>1</v>
      </c>
      <c r="D12" s="72"/>
    </row>
    <row r="13" spans="1:4" x14ac:dyDescent="0.25">
      <c r="A13" s="169" t="s">
        <v>284</v>
      </c>
      <c r="B13" s="6" t="s">
        <v>4</v>
      </c>
      <c r="C13" s="67">
        <f>DOMZEROFQDN</f>
        <v>0</v>
      </c>
      <c r="D13" s="104" t="s">
        <v>216</v>
      </c>
    </row>
    <row r="14" spans="1:4" x14ac:dyDescent="0.25">
      <c r="A14" s="169" t="s">
        <v>178</v>
      </c>
      <c r="B14" s="6" t="s">
        <v>5</v>
      </c>
      <c r="C14" s="67">
        <f>PRIMARYDNSIP</f>
        <v>0</v>
      </c>
      <c r="D14" s="72"/>
    </row>
    <row r="15" spans="1:4" x14ac:dyDescent="0.25">
      <c r="A15" s="169" t="s">
        <v>179</v>
      </c>
      <c r="B15" s="6" t="s">
        <v>6</v>
      </c>
      <c r="C15" s="67">
        <f>SECONDARYDNSIP</f>
        <v>0</v>
      </c>
      <c r="D15" s="72" t="s">
        <v>298</v>
      </c>
    </row>
    <row r="16" spans="1:4" x14ac:dyDescent="0.25">
      <c r="A16" s="169" t="s">
        <v>180</v>
      </c>
      <c r="B16" s="6" t="s">
        <v>7</v>
      </c>
      <c r="C16" s="67">
        <f>DOMZEROIP</f>
        <v>0</v>
      </c>
      <c r="D16" s="72"/>
    </row>
    <row r="17" spans="1:4" x14ac:dyDescent="0.25">
      <c r="A17" s="169" t="s">
        <v>181</v>
      </c>
      <c r="B17" s="6" t="s">
        <v>8</v>
      </c>
      <c r="C17" s="67">
        <f>DOMZERONETMASK</f>
        <v>0</v>
      </c>
      <c r="D17" s="72"/>
    </row>
    <row r="18" spans="1:4" x14ac:dyDescent="0.25">
      <c r="A18" s="169" t="s">
        <v>285</v>
      </c>
      <c r="B18" s="6" t="s">
        <v>9</v>
      </c>
      <c r="C18" s="67">
        <f>DOMZERODEFGW</f>
        <v>0</v>
      </c>
      <c r="D18" s="72"/>
    </row>
    <row r="19" spans="1:4" x14ac:dyDescent="0.25">
      <c r="A19" s="169" t="s">
        <v>1076</v>
      </c>
      <c r="B19" s="6" t="s">
        <v>1</v>
      </c>
      <c r="C19" s="105" t="s">
        <v>1</v>
      </c>
      <c r="D19" s="104" t="s">
        <v>1450</v>
      </c>
    </row>
    <row r="20" spans="1:4" x14ac:dyDescent="0.25">
      <c r="A20" s="169" t="s">
        <v>10</v>
      </c>
      <c r="B20" s="6" t="s">
        <v>10</v>
      </c>
      <c r="C20" s="6" t="s">
        <v>0</v>
      </c>
      <c r="D20" s="72"/>
    </row>
    <row r="21" spans="1:4" x14ac:dyDescent="0.25">
      <c r="A21" s="169" t="s">
        <v>282</v>
      </c>
      <c r="B21" s="6" t="s">
        <v>1</v>
      </c>
      <c r="C21" s="6" t="s">
        <v>1</v>
      </c>
      <c r="D21" s="72"/>
    </row>
    <row r="22" spans="1:4" x14ac:dyDescent="0.25">
      <c r="A22" s="169" t="s">
        <v>283</v>
      </c>
      <c r="B22" s="6" t="s">
        <v>1</v>
      </c>
      <c r="C22" s="6" t="s">
        <v>1</v>
      </c>
      <c r="D22" s="72"/>
    </row>
    <row r="23" spans="1:4" x14ac:dyDescent="0.25">
      <c r="A23" s="169" t="s">
        <v>286</v>
      </c>
      <c r="B23" s="6" t="s">
        <v>4</v>
      </c>
      <c r="C23" s="67">
        <f>CDOMFQDN</f>
        <v>0</v>
      </c>
      <c r="D23" s="104" t="s">
        <v>216</v>
      </c>
    </row>
    <row r="24" spans="1:4" x14ac:dyDescent="0.25">
      <c r="A24" s="169" t="s">
        <v>182</v>
      </c>
      <c r="B24" s="6" t="s">
        <v>7</v>
      </c>
      <c r="C24" s="67">
        <f>CDOMIP</f>
        <v>0</v>
      </c>
      <c r="D24" s="72"/>
    </row>
    <row r="25" spans="1:4" x14ac:dyDescent="0.25">
      <c r="A25" s="169" t="s">
        <v>281</v>
      </c>
      <c r="B25" s="6" t="s">
        <v>1</v>
      </c>
      <c r="C25" s="6" t="s">
        <v>1</v>
      </c>
      <c r="D25" s="72"/>
    </row>
    <row r="26" spans="1:4" ht="60" x14ac:dyDescent="0.25">
      <c r="A26" s="13" t="s">
        <v>1077</v>
      </c>
      <c r="B26" s="11" t="s">
        <v>1078</v>
      </c>
      <c r="C26" s="11" t="s">
        <v>0</v>
      </c>
      <c r="D26" s="72" t="s">
        <v>1214</v>
      </c>
    </row>
    <row r="27" spans="1:4" x14ac:dyDescent="0.25">
      <c r="A27" s="169" t="s">
        <v>1067</v>
      </c>
      <c r="B27" s="6" t="s">
        <v>4</v>
      </c>
      <c r="C27" s="69">
        <f>SVMFQDN</f>
        <v>0</v>
      </c>
      <c r="D27" s="72"/>
    </row>
    <row r="28" spans="1:4" x14ac:dyDescent="0.25">
      <c r="A28" s="169" t="s">
        <v>1065</v>
      </c>
      <c r="B28" s="6" t="s">
        <v>7</v>
      </c>
      <c r="C28" s="69">
        <f>SVMIP</f>
        <v>0</v>
      </c>
      <c r="D28" s="72"/>
    </row>
    <row r="29" spans="1:4" x14ac:dyDescent="0.25">
      <c r="A29" s="169" t="s">
        <v>287</v>
      </c>
      <c r="B29" s="6" t="s">
        <v>12</v>
      </c>
      <c r="C29" s="67">
        <f>SPTIMEZONE</f>
        <v>0</v>
      </c>
      <c r="D29" s="72"/>
    </row>
    <row r="30" spans="1:4" x14ac:dyDescent="0.25">
      <c r="A30" s="169" t="s">
        <v>281</v>
      </c>
      <c r="B30" s="6" t="s">
        <v>1</v>
      </c>
      <c r="C30" s="6" t="s">
        <v>1</v>
      </c>
      <c r="D30" s="72"/>
    </row>
    <row r="31" spans="1:4" x14ac:dyDescent="0.25">
      <c r="A31" s="169" t="s">
        <v>184</v>
      </c>
      <c r="B31" s="6" t="s">
        <v>14</v>
      </c>
      <c r="C31" s="105" t="s">
        <v>303</v>
      </c>
      <c r="D31" s="72" t="s">
        <v>305</v>
      </c>
    </row>
    <row r="32" spans="1:4" x14ac:dyDescent="0.25">
      <c r="A32" s="169" t="s">
        <v>183</v>
      </c>
      <c r="B32" s="6" t="s">
        <v>15</v>
      </c>
      <c r="C32" s="105" t="s">
        <v>304</v>
      </c>
      <c r="D32" s="72"/>
    </row>
    <row r="33" spans="1:4" x14ac:dyDescent="0.25">
      <c r="A33" s="169" t="s">
        <v>185</v>
      </c>
      <c r="B33" s="6" t="s">
        <v>16</v>
      </c>
      <c r="C33" s="105" t="s">
        <v>302</v>
      </c>
      <c r="D33" s="72"/>
    </row>
    <row r="34" spans="1:4" x14ac:dyDescent="0.25">
      <c r="A34" s="169" t="s">
        <v>186</v>
      </c>
      <c r="B34" s="6" t="s">
        <v>17</v>
      </c>
      <c r="C34" s="105" t="s">
        <v>299</v>
      </c>
      <c r="D34" s="72"/>
    </row>
    <row r="35" spans="1:4" x14ac:dyDescent="0.25">
      <c r="A35" s="169" t="s">
        <v>187</v>
      </c>
      <c r="B35" s="6" t="s">
        <v>18</v>
      </c>
      <c r="C35" s="105" t="s">
        <v>300</v>
      </c>
      <c r="D35" s="72"/>
    </row>
    <row r="36" spans="1:4" x14ac:dyDescent="0.25">
      <c r="A36" s="169" t="s">
        <v>188</v>
      </c>
      <c r="B36" s="6" t="s">
        <v>19</v>
      </c>
      <c r="C36" s="105" t="s">
        <v>301</v>
      </c>
      <c r="D36" s="72"/>
    </row>
    <row r="37" spans="1:4" x14ac:dyDescent="0.25">
      <c r="A37" s="169" t="s">
        <v>288</v>
      </c>
      <c r="B37" s="6" t="s">
        <v>20</v>
      </c>
      <c r="C37" s="6" t="s">
        <v>0</v>
      </c>
      <c r="D37" s="72"/>
    </row>
    <row r="38" spans="1:4" x14ac:dyDescent="0.25">
      <c r="A38" s="169" t="s">
        <v>189</v>
      </c>
      <c r="B38" s="6" t="s">
        <v>21</v>
      </c>
      <c r="C38" s="67">
        <f>NTPSRVRFQDN</f>
        <v>0</v>
      </c>
      <c r="D38" s="72"/>
    </row>
    <row r="39" spans="1:4" x14ac:dyDescent="0.25">
      <c r="A39" s="169" t="s">
        <v>22</v>
      </c>
      <c r="B39" s="6" t="s">
        <v>1</v>
      </c>
      <c r="C39" s="6" t="s">
        <v>1</v>
      </c>
      <c r="D39" s="72"/>
    </row>
    <row r="40" spans="1:4" ht="60" x14ac:dyDescent="0.25">
      <c r="A40" s="13" t="s">
        <v>289</v>
      </c>
      <c r="B40" s="11" t="s">
        <v>23</v>
      </c>
      <c r="C40" s="11">
        <f>ROOTPASS</f>
        <v>0</v>
      </c>
      <c r="D40" s="72" t="s">
        <v>1056</v>
      </c>
    </row>
    <row r="41" spans="1:4" x14ac:dyDescent="0.25">
      <c r="A41" s="169" t="s">
        <v>492</v>
      </c>
      <c r="B41" s="6" t="s">
        <v>24</v>
      </c>
      <c r="C41" s="6">
        <f>ROOTPASS</f>
        <v>0</v>
      </c>
      <c r="D41" s="72"/>
    </row>
    <row r="42" spans="1:4" ht="60" x14ac:dyDescent="0.25">
      <c r="A42" s="12" t="s">
        <v>493</v>
      </c>
      <c r="B42" s="12" t="s">
        <v>25</v>
      </c>
      <c r="C42" s="12">
        <f>ADMINPASS</f>
        <v>0</v>
      </c>
      <c r="D42" s="72" t="s">
        <v>1056</v>
      </c>
    </row>
    <row r="43" spans="1:4" ht="30" x14ac:dyDescent="0.25">
      <c r="A43" s="12" t="s">
        <v>494</v>
      </c>
      <c r="B43" s="12" t="s">
        <v>26</v>
      </c>
      <c r="C43" s="12">
        <f>ADMINPASS</f>
        <v>0</v>
      </c>
      <c r="D43" s="72"/>
    </row>
    <row r="44" spans="1:4" ht="60" x14ac:dyDescent="0.25">
      <c r="A44" s="12" t="s">
        <v>495</v>
      </c>
      <c r="B44" s="12" t="s">
        <v>27</v>
      </c>
      <c r="C44" s="12">
        <f>CUSTPASS</f>
        <v>0</v>
      </c>
      <c r="D44" s="72" t="s">
        <v>1056</v>
      </c>
    </row>
    <row r="45" spans="1:4" x14ac:dyDescent="0.25">
      <c r="A45" s="12" t="s">
        <v>496</v>
      </c>
      <c r="B45" s="12" t="s">
        <v>28</v>
      </c>
      <c r="C45" s="12">
        <f>CUSTPASS</f>
        <v>0</v>
      </c>
      <c r="D45" s="72"/>
    </row>
    <row r="46" spans="1:4" ht="60" x14ac:dyDescent="0.25">
      <c r="A46" s="12" t="s">
        <v>497</v>
      </c>
      <c r="B46" s="12" t="s">
        <v>29</v>
      </c>
      <c r="C46" s="12">
        <f>LDAPPASS</f>
        <v>0</v>
      </c>
      <c r="D46" s="72" t="s">
        <v>1057</v>
      </c>
    </row>
    <row r="47" spans="1:4" x14ac:dyDescent="0.25">
      <c r="A47" s="12" t="s">
        <v>498</v>
      </c>
      <c r="B47" s="12" t="s">
        <v>30</v>
      </c>
      <c r="C47" s="12">
        <f>LDAPPASS</f>
        <v>0</v>
      </c>
      <c r="D47" s="72"/>
    </row>
    <row r="48" spans="1:4" ht="45" x14ac:dyDescent="0.25">
      <c r="A48" s="13" t="s">
        <v>281</v>
      </c>
      <c r="B48" s="11" t="s">
        <v>1</v>
      </c>
      <c r="C48" s="11" t="s">
        <v>1</v>
      </c>
      <c r="D48" s="72" t="s">
        <v>754</v>
      </c>
    </row>
    <row r="49" spans="1:4" x14ac:dyDescent="0.25">
      <c r="A49" s="169" t="s">
        <v>755</v>
      </c>
      <c r="B49" s="6" t="s">
        <v>1</v>
      </c>
      <c r="C49" s="6" t="s">
        <v>1</v>
      </c>
      <c r="D49" s="72"/>
    </row>
    <row r="50" spans="1:4" ht="15.75" thickBot="1" x14ac:dyDescent="0.3">
      <c r="A50" s="356"/>
      <c r="B50" s="3"/>
      <c r="C50" s="3"/>
      <c r="D50" s="205"/>
    </row>
    <row r="51" spans="1:4" ht="75.75" thickTop="1" x14ac:dyDescent="0.25">
      <c r="A51" s="142" t="s">
        <v>1804</v>
      </c>
      <c r="B51" s="22" t="s">
        <v>217</v>
      </c>
      <c r="C51" s="22"/>
      <c r="D51" s="316" t="s">
        <v>800</v>
      </c>
    </row>
    <row r="52" spans="1:4" ht="120" x14ac:dyDescent="0.25">
      <c r="A52" s="17" t="s">
        <v>637</v>
      </c>
      <c r="B52" s="12" t="s">
        <v>278</v>
      </c>
      <c r="C52" s="71">
        <f>CDOMIP</f>
        <v>0</v>
      </c>
      <c r="D52" s="317" t="s">
        <v>1516</v>
      </c>
    </row>
    <row r="53" spans="1:4" x14ac:dyDescent="0.25">
      <c r="A53" s="17" t="s">
        <v>291</v>
      </c>
      <c r="B53" s="12" t="s">
        <v>215</v>
      </c>
      <c r="C53" s="12" t="str">
        <f>CONCATENATE("admin/",ADMINPASS)</f>
        <v>admin/</v>
      </c>
      <c r="D53" s="313"/>
    </row>
    <row r="54" spans="1:4" ht="30" x14ac:dyDescent="0.25">
      <c r="A54" s="17" t="s">
        <v>461</v>
      </c>
      <c r="B54" s="12" t="s">
        <v>460</v>
      </c>
      <c r="C54" s="12" t="s">
        <v>462</v>
      </c>
      <c r="D54" s="313"/>
    </row>
    <row r="55" spans="1:4" x14ac:dyDescent="0.25">
      <c r="A55" s="17" t="s">
        <v>464</v>
      </c>
      <c r="B55" s="12" t="s">
        <v>463</v>
      </c>
      <c r="C55" s="12" t="s">
        <v>355</v>
      </c>
      <c r="D55" s="313"/>
    </row>
    <row r="56" spans="1:4" x14ac:dyDescent="0.25">
      <c r="A56" s="17" t="s">
        <v>465</v>
      </c>
      <c r="B56" s="12" t="s">
        <v>356</v>
      </c>
      <c r="C56" s="12" t="s">
        <v>309</v>
      </c>
      <c r="D56" s="313"/>
    </row>
    <row r="57" spans="1:4" x14ac:dyDescent="0.25">
      <c r="A57" s="17"/>
      <c r="B57" s="12"/>
      <c r="C57" s="12"/>
      <c r="D57" s="313"/>
    </row>
    <row r="58" spans="1:4" x14ac:dyDescent="0.25">
      <c r="A58" s="619" t="s">
        <v>1978</v>
      </c>
      <c r="B58" s="604"/>
      <c r="C58" s="604"/>
      <c r="D58" s="605"/>
    </row>
    <row r="59" spans="1:4" x14ac:dyDescent="0.25">
      <c r="A59" s="17"/>
      <c r="B59" s="12"/>
      <c r="C59" s="12"/>
      <c r="D59" s="313"/>
    </row>
    <row r="60" spans="1:4" ht="30" x14ac:dyDescent="0.25">
      <c r="A60" s="17" t="s">
        <v>466</v>
      </c>
      <c r="B60" s="12" t="s">
        <v>458</v>
      </c>
      <c r="C60" s="71" t="str">
        <f>SP_FP4_PATCH_FILENAME</f>
        <v>vsp-patch-6.3.8.01002.0.noarch.rpm</v>
      </c>
      <c r="D60" s="313" t="s">
        <v>1854</v>
      </c>
    </row>
    <row r="61" spans="1:4" x14ac:dyDescent="0.25">
      <c r="A61" s="17" t="s">
        <v>357</v>
      </c>
      <c r="B61" s="12" t="s">
        <v>358</v>
      </c>
      <c r="C61" s="12" t="s">
        <v>309</v>
      </c>
      <c r="D61" s="313"/>
    </row>
    <row r="62" spans="1:4" ht="60" x14ac:dyDescent="0.25">
      <c r="A62" s="17" t="s">
        <v>467</v>
      </c>
      <c r="B62" s="12" t="s">
        <v>97</v>
      </c>
      <c r="C62" s="12" t="s">
        <v>309</v>
      </c>
      <c r="D62" s="313" t="s">
        <v>1805</v>
      </c>
    </row>
    <row r="63" spans="1:4" x14ac:dyDescent="0.25">
      <c r="A63" s="17" t="s">
        <v>801</v>
      </c>
      <c r="B63" s="12" t="s">
        <v>215</v>
      </c>
      <c r="C63" s="12" t="str">
        <f>CONCATENATE("admin/",ADMINPASS)</f>
        <v>admin/</v>
      </c>
      <c r="D63" s="313"/>
    </row>
    <row r="64" spans="1:4" ht="30" x14ac:dyDescent="0.25">
      <c r="A64" s="17" t="s">
        <v>802</v>
      </c>
      <c r="B64" s="12" t="s">
        <v>460</v>
      </c>
      <c r="C64" s="12" t="s">
        <v>803</v>
      </c>
      <c r="D64" s="313"/>
    </row>
    <row r="65" spans="1:4" ht="15.75" thickBot="1" x14ac:dyDescent="0.3">
      <c r="A65" s="206" t="s">
        <v>806</v>
      </c>
      <c r="B65" s="57" t="s">
        <v>804</v>
      </c>
      <c r="C65" s="57" t="s">
        <v>805</v>
      </c>
      <c r="D65" s="325"/>
    </row>
    <row r="66" spans="1:4" ht="60.75" thickTop="1" x14ac:dyDescent="0.25">
      <c r="A66" s="107" t="s">
        <v>1058</v>
      </c>
      <c r="B66" s="263"/>
      <c r="C66" s="263"/>
      <c r="D66" s="324" t="s">
        <v>1158</v>
      </c>
    </row>
    <row r="67" spans="1:4" ht="30" x14ac:dyDescent="0.25">
      <c r="A67" s="168" t="s">
        <v>725</v>
      </c>
      <c r="B67" s="12" t="s">
        <v>712</v>
      </c>
      <c r="C67" s="6"/>
      <c r="D67" s="319"/>
    </row>
    <row r="68" spans="1:4" ht="165" x14ac:dyDescent="0.25">
      <c r="A68" s="168" t="s">
        <v>721</v>
      </c>
      <c r="B68" s="13" t="s">
        <v>723</v>
      </c>
      <c r="C68" s="185" t="s">
        <v>722</v>
      </c>
      <c r="D68" s="320" t="s">
        <v>1381</v>
      </c>
    </row>
    <row r="69" spans="1:4" ht="30" x14ac:dyDescent="0.25">
      <c r="A69" s="357" t="s">
        <v>726</v>
      </c>
      <c r="B69" s="164"/>
      <c r="C69" s="164"/>
      <c r="D69" s="321"/>
    </row>
    <row r="70" spans="1:4" x14ac:dyDescent="0.25">
      <c r="A70" s="357" t="s">
        <v>718</v>
      </c>
      <c r="B70" s="164" t="s">
        <v>714</v>
      </c>
      <c r="C70" s="164"/>
      <c r="D70" s="321"/>
    </row>
    <row r="71" spans="1:4" ht="30" x14ac:dyDescent="0.25">
      <c r="A71" s="160" t="s">
        <v>719</v>
      </c>
      <c r="B71" s="184" t="s">
        <v>715</v>
      </c>
      <c r="C71" s="164"/>
      <c r="D71" s="321" t="s">
        <v>1059</v>
      </c>
    </row>
    <row r="72" spans="1:4" x14ac:dyDescent="0.25">
      <c r="A72" s="357" t="s">
        <v>756</v>
      </c>
      <c r="B72" s="164"/>
      <c r="C72" s="164"/>
      <c r="D72" s="321"/>
    </row>
    <row r="73" spans="1:4" x14ac:dyDescent="0.25">
      <c r="A73" s="357" t="s">
        <v>720</v>
      </c>
      <c r="B73" s="164" t="s">
        <v>714</v>
      </c>
      <c r="C73" s="164"/>
      <c r="D73" s="321"/>
    </row>
    <row r="74" spans="1:4" ht="30" x14ac:dyDescent="0.25">
      <c r="A74" s="357" t="s">
        <v>719</v>
      </c>
      <c r="B74" s="184" t="s">
        <v>715</v>
      </c>
      <c r="C74" s="164"/>
      <c r="D74" s="321" t="s">
        <v>1059</v>
      </c>
    </row>
    <row r="75" spans="1:4" x14ac:dyDescent="0.25">
      <c r="A75" s="357" t="s">
        <v>713</v>
      </c>
      <c r="B75" s="164"/>
      <c r="C75" s="164"/>
      <c r="D75" s="321"/>
    </row>
    <row r="76" spans="1:4" x14ac:dyDescent="0.25">
      <c r="A76" s="357" t="s">
        <v>718</v>
      </c>
      <c r="B76" s="164" t="s">
        <v>714</v>
      </c>
      <c r="C76" s="164"/>
      <c r="D76" s="321"/>
    </row>
    <row r="77" spans="1:4" ht="30" x14ac:dyDescent="0.25">
      <c r="A77" s="160" t="s">
        <v>719</v>
      </c>
      <c r="B77" s="184" t="s">
        <v>715</v>
      </c>
      <c r="C77" s="164"/>
      <c r="D77" s="321" t="s">
        <v>1060</v>
      </c>
    </row>
    <row r="78" spans="1:4" ht="15.75" thickBot="1" x14ac:dyDescent="0.3">
      <c r="A78" s="358" t="s">
        <v>717</v>
      </c>
      <c r="B78" s="322" t="s">
        <v>716</v>
      </c>
      <c r="C78" s="322"/>
      <c r="D78" s="323"/>
    </row>
    <row r="79" spans="1:4" ht="15.75" thickTop="1" x14ac:dyDescent="0.25"/>
  </sheetData>
  <sheetProtection sheet="1" objects="1" scenarios="1"/>
  <mergeCells count="1">
    <mergeCell ref="A58:D58"/>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6" workbookViewId="0">
      <selection activeCell="C23" sqref="C23"/>
    </sheetView>
  </sheetViews>
  <sheetFormatPr defaultRowHeight="15" x14ac:dyDescent="0.25"/>
  <cols>
    <col min="1" max="1" width="53.28515625" style="351" customWidth="1"/>
    <col min="2" max="2" width="26" customWidth="1"/>
    <col min="3" max="3" width="45" style="1" customWidth="1"/>
    <col min="4" max="4" width="43.85546875" customWidth="1"/>
  </cols>
  <sheetData>
    <row r="1" spans="1:4" ht="15.75" thickBot="1" x14ac:dyDescent="0.3">
      <c r="A1" s="354" t="s">
        <v>11</v>
      </c>
      <c r="B1" s="43" t="s">
        <v>3</v>
      </c>
      <c r="C1" s="43" t="s">
        <v>193</v>
      </c>
      <c r="D1" s="84" t="s">
        <v>122</v>
      </c>
    </row>
    <row r="2" spans="1:4" ht="30.75" thickTop="1" x14ac:dyDescent="0.25">
      <c r="A2" s="107" t="s">
        <v>1568</v>
      </c>
      <c r="B2" s="263"/>
      <c r="C2" s="263"/>
      <c r="D2" s="360"/>
    </row>
    <row r="3" spans="1:4" x14ac:dyDescent="0.25">
      <c r="A3" s="17" t="s">
        <v>1592</v>
      </c>
      <c r="B3" s="12" t="s">
        <v>215</v>
      </c>
      <c r="C3" s="12" t="str">
        <f>CONCATENATE("admin/",ADMINPASS)</f>
        <v>admin/</v>
      </c>
      <c r="D3" s="324"/>
    </row>
    <row r="4" spans="1:4" x14ac:dyDescent="0.25">
      <c r="A4" s="168" t="s">
        <v>1599</v>
      </c>
      <c r="B4" s="12" t="s">
        <v>460</v>
      </c>
      <c r="C4" s="6" t="s">
        <v>1600</v>
      </c>
      <c r="D4" s="319"/>
    </row>
    <row r="5" spans="1:4" ht="45" x14ac:dyDescent="0.25">
      <c r="A5" s="168" t="s">
        <v>1593</v>
      </c>
      <c r="B5" s="13" t="s">
        <v>723</v>
      </c>
      <c r="C5" s="185"/>
      <c r="D5" s="320"/>
    </row>
    <row r="6" spans="1:4" ht="30" x14ac:dyDescent="0.25">
      <c r="A6" s="357" t="s">
        <v>1598</v>
      </c>
      <c r="B6" s="164" t="s">
        <v>1596</v>
      </c>
      <c r="C6" s="164" t="s">
        <v>1597</v>
      </c>
      <c r="D6" s="321"/>
    </row>
    <row r="7" spans="1:4" ht="30" x14ac:dyDescent="0.25">
      <c r="A7" s="357" t="s">
        <v>1569</v>
      </c>
      <c r="B7" s="164" t="s">
        <v>714</v>
      </c>
      <c r="C7" s="164" t="s">
        <v>309</v>
      </c>
      <c r="D7" s="321"/>
    </row>
    <row r="8" spans="1:4" x14ac:dyDescent="0.25">
      <c r="A8" s="160" t="s">
        <v>1609</v>
      </c>
      <c r="B8" s="184" t="s">
        <v>715</v>
      </c>
      <c r="C8" s="164" t="s">
        <v>309</v>
      </c>
      <c r="D8" s="359" t="s">
        <v>1570</v>
      </c>
    </row>
    <row r="9" spans="1:4" ht="60" x14ac:dyDescent="0.25">
      <c r="A9" s="357" t="s">
        <v>1610</v>
      </c>
      <c r="B9" t="s">
        <v>1608</v>
      </c>
      <c r="C9" s="164" t="s">
        <v>1571</v>
      </c>
      <c r="D9" s="321"/>
    </row>
    <row r="10" spans="1:4" x14ac:dyDescent="0.25">
      <c r="A10" s="361" t="s">
        <v>1607</v>
      </c>
      <c r="B10" s="164" t="s">
        <v>716</v>
      </c>
      <c r="C10" s="164" t="s">
        <v>309</v>
      </c>
      <c r="D10" s="321"/>
    </row>
    <row r="11" spans="1:4" ht="75" x14ac:dyDescent="0.25">
      <c r="A11" s="351" t="s">
        <v>1572</v>
      </c>
      <c r="B11" s="164" t="s">
        <v>1573</v>
      </c>
      <c r="C11" s="164" t="s">
        <v>309</v>
      </c>
      <c r="D11" s="321"/>
    </row>
    <row r="12" spans="1:4" ht="15.75" thickBot="1" x14ac:dyDescent="0.3">
      <c r="A12" s="358"/>
      <c r="B12" s="322"/>
      <c r="C12" s="322"/>
      <c r="D12" s="323"/>
    </row>
    <row r="13" spans="1:4" ht="15.75" thickTop="1" x14ac:dyDescent="0.25">
      <c r="A13" s="86" t="s">
        <v>1565</v>
      </c>
      <c r="B13" s="347"/>
      <c r="C13" s="347"/>
      <c r="D13" s="350"/>
    </row>
    <row r="14" spans="1:4" x14ac:dyDescent="0.25">
      <c r="A14" s="169" t="s">
        <v>1564</v>
      </c>
      <c r="B14" s="12" t="s">
        <v>460</v>
      </c>
      <c r="C14" s="347" t="s">
        <v>1595</v>
      </c>
      <c r="D14" s="350"/>
    </row>
    <row r="15" spans="1:4" x14ac:dyDescent="0.25">
      <c r="A15" s="352" t="s">
        <v>1575</v>
      </c>
      <c r="B15" s="347" t="s">
        <v>1574</v>
      </c>
      <c r="C15" s="347" t="s">
        <v>309</v>
      </c>
      <c r="D15" s="350"/>
    </row>
    <row r="16" spans="1:4" x14ac:dyDescent="0.25">
      <c r="A16" s="352" t="s">
        <v>1590</v>
      </c>
      <c r="B16" s="347" t="s">
        <v>34</v>
      </c>
      <c r="C16" s="347" t="s">
        <v>309</v>
      </c>
      <c r="D16" s="350"/>
    </row>
    <row r="17" spans="1:4" x14ac:dyDescent="0.25">
      <c r="A17" s="352" t="s">
        <v>1576</v>
      </c>
      <c r="B17" s="347" t="s">
        <v>1594</v>
      </c>
      <c r="C17" s="347" t="s">
        <v>309</v>
      </c>
      <c r="D17" s="350"/>
    </row>
    <row r="18" spans="1:4" ht="60" x14ac:dyDescent="0.25">
      <c r="A18" s="353" t="s">
        <v>1566</v>
      </c>
      <c r="B18" s="347" t="s">
        <v>36</v>
      </c>
      <c r="C18" s="171" t="s">
        <v>1591</v>
      </c>
      <c r="D18" s="350"/>
    </row>
    <row r="19" spans="1:4" x14ac:dyDescent="0.25">
      <c r="A19" s="353" t="s">
        <v>1577</v>
      </c>
      <c r="B19" s="347" t="s">
        <v>1578</v>
      </c>
      <c r="C19" s="347" t="s">
        <v>309</v>
      </c>
      <c r="D19" s="350"/>
    </row>
    <row r="20" spans="1:4" x14ac:dyDescent="0.25">
      <c r="A20" s="353" t="s">
        <v>1579</v>
      </c>
      <c r="B20" s="347" t="s">
        <v>1580</v>
      </c>
      <c r="C20" s="347" t="s">
        <v>309</v>
      </c>
      <c r="D20" s="350"/>
    </row>
    <row r="21" spans="1:4" ht="30" x14ac:dyDescent="0.25">
      <c r="A21" s="353" t="s">
        <v>1581</v>
      </c>
      <c r="B21" s="347" t="s">
        <v>295</v>
      </c>
      <c r="C21" s="347" t="s">
        <v>309</v>
      </c>
      <c r="D21" s="350"/>
    </row>
    <row r="22" spans="1:4" ht="30" x14ac:dyDescent="0.25">
      <c r="A22" s="353" t="s">
        <v>1582</v>
      </c>
      <c r="B22" s="347" t="s">
        <v>1580</v>
      </c>
      <c r="C22" s="347" t="s">
        <v>309</v>
      </c>
      <c r="D22" s="350"/>
    </row>
    <row r="23" spans="1:4" ht="30" x14ac:dyDescent="0.25">
      <c r="A23" s="352" t="s">
        <v>1583</v>
      </c>
      <c r="B23" s="347" t="s">
        <v>1601</v>
      </c>
      <c r="C23" s="347" t="s">
        <v>1606</v>
      </c>
      <c r="D23" s="350" t="s">
        <v>1584</v>
      </c>
    </row>
    <row r="24" spans="1:4" ht="30" x14ac:dyDescent="0.25">
      <c r="A24" s="352" t="s">
        <v>1585</v>
      </c>
      <c r="B24" s="347" t="s">
        <v>1586</v>
      </c>
      <c r="C24" s="347" t="s">
        <v>309</v>
      </c>
      <c r="D24" s="350"/>
    </row>
    <row r="25" spans="1:4" x14ac:dyDescent="0.25">
      <c r="A25" s="352" t="s">
        <v>1587</v>
      </c>
      <c r="B25" s="12" t="s">
        <v>460</v>
      </c>
      <c r="C25" s="347" t="s">
        <v>1602</v>
      </c>
      <c r="D25" s="350"/>
    </row>
    <row r="26" spans="1:4" ht="30" x14ac:dyDescent="0.25">
      <c r="A26" s="352" t="s">
        <v>1588</v>
      </c>
      <c r="B26" s="347" t="s">
        <v>1603</v>
      </c>
      <c r="C26" s="347" t="s">
        <v>1604</v>
      </c>
      <c r="D26" s="350"/>
    </row>
    <row r="27" spans="1:4" ht="45" x14ac:dyDescent="0.25">
      <c r="A27" s="169" t="s">
        <v>1589</v>
      </c>
      <c r="B27" s="347" t="s">
        <v>1605</v>
      </c>
      <c r="C27" s="347" t="s">
        <v>322</v>
      </c>
      <c r="D27" s="364" t="s">
        <v>1634</v>
      </c>
    </row>
    <row r="28" spans="1:4" ht="15.75" thickBot="1" x14ac:dyDescent="0.3">
      <c r="A28" s="206"/>
      <c r="B28" s="57"/>
      <c r="C28" s="57"/>
      <c r="D28" s="325"/>
    </row>
    <row r="29" spans="1:4" ht="15.75" thickTop="1" x14ac:dyDescent="0.25"/>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zoomScaleNormal="100" workbookViewId="0">
      <pane ySplit="1" topLeftCell="A2" activePane="bottomLeft" state="frozen"/>
      <selection activeCell="C89" sqref="C89"/>
      <selection pane="bottomLeft" activeCell="C60" sqref="C60"/>
    </sheetView>
  </sheetViews>
  <sheetFormatPr defaultRowHeight="15" x14ac:dyDescent="0.25"/>
  <cols>
    <col min="1" max="1" width="56.42578125" customWidth="1"/>
    <col min="2" max="2" width="35.42578125" style="1" customWidth="1"/>
    <col min="3" max="3" width="38.42578125" style="1" customWidth="1"/>
    <col min="4" max="4" width="36.28515625" customWidth="1"/>
  </cols>
  <sheetData>
    <row r="1" spans="1:4" ht="15.75" thickBot="1" x14ac:dyDescent="0.3">
      <c r="A1" s="42" t="s">
        <v>11</v>
      </c>
      <c r="B1" s="43" t="s">
        <v>3</v>
      </c>
      <c r="C1" s="43" t="s">
        <v>193</v>
      </c>
      <c r="D1" s="84" t="s">
        <v>122</v>
      </c>
    </row>
    <row r="2" spans="1:4" ht="60.75" thickTop="1" x14ac:dyDescent="0.25">
      <c r="A2" s="181" t="s">
        <v>290</v>
      </c>
      <c r="B2" s="4"/>
      <c r="C2" s="4"/>
      <c r="D2" s="329" t="s">
        <v>1462</v>
      </c>
    </row>
    <row r="3" spans="1:4" x14ac:dyDescent="0.25">
      <c r="A3" s="15" t="s">
        <v>524</v>
      </c>
      <c r="B3" s="14"/>
      <c r="C3" s="14"/>
      <c r="D3" s="326"/>
    </row>
    <row r="4" spans="1:4" ht="120" x14ac:dyDescent="0.25">
      <c r="A4" s="17" t="s">
        <v>214</v>
      </c>
      <c r="B4" s="12" t="s">
        <v>219</v>
      </c>
      <c r="C4" s="68" t="str">
        <f>CONCATENATE("http://",CDOMIP)</f>
        <v>http://</v>
      </c>
      <c r="D4" s="317" t="s">
        <v>1516</v>
      </c>
    </row>
    <row r="5" spans="1:4" x14ac:dyDescent="0.25">
      <c r="A5" s="65" t="s">
        <v>502</v>
      </c>
      <c r="B5" s="12" t="s">
        <v>215</v>
      </c>
      <c r="C5" s="68" t="str">
        <f>CONCATENATE("admin/",ADMINPASS)</f>
        <v>admin/</v>
      </c>
      <c r="D5" s="319"/>
    </row>
    <row r="6" spans="1:4" x14ac:dyDescent="0.25">
      <c r="A6" s="5" t="s">
        <v>119</v>
      </c>
      <c r="B6" s="12" t="s">
        <v>124</v>
      </c>
      <c r="C6" s="16" t="s">
        <v>724</v>
      </c>
      <c r="D6" s="319"/>
    </row>
    <row r="7" spans="1:4" x14ac:dyDescent="0.25">
      <c r="A7" s="5" t="s">
        <v>727</v>
      </c>
      <c r="B7" s="6" t="s">
        <v>33</v>
      </c>
      <c r="C7" s="6" t="s">
        <v>757</v>
      </c>
      <c r="D7" s="319"/>
    </row>
    <row r="8" spans="1:4" x14ac:dyDescent="0.25">
      <c r="A8" s="5" t="s">
        <v>1079</v>
      </c>
      <c r="B8" s="6" t="s">
        <v>1081</v>
      </c>
      <c r="C8" s="6" t="s">
        <v>757</v>
      </c>
      <c r="D8" s="319"/>
    </row>
    <row r="9" spans="1:4" x14ac:dyDescent="0.25">
      <c r="A9" s="5" t="s">
        <v>1080</v>
      </c>
      <c r="B9" s="6" t="s">
        <v>32</v>
      </c>
      <c r="C9" s="6" t="s">
        <v>724</v>
      </c>
      <c r="D9" s="319"/>
    </row>
    <row r="10" spans="1:4" x14ac:dyDescent="0.25">
      <c r="A10" s="65" t="s">
        <v>729</v>
      </c>
      <c r="B10" s="11" t="s">
        <v>34</v>
      </c>
      <c r="C10" s="11" t="s">
        <v>728</v>
      </c>
      <c r="D10" s="320"/>
    </row>
    <row r="11" spans="1:4" x14ac:dyDescent="0.25">
      <c r="A11" s="5" t="s">
        <v>730</v>
      </c>
      <c r="B11" s="6" t="s">
        <v>35</v>
      </c>
      <c r="C11" s="6" t="s">
        <v>758</v>
      </c>
      <c r="D11" s="319"/>
    </row>
    <row r="12" spans="1:4" x14ac:dyDescent="0.25">
      <c r="A12" s="5" t="s">
        <v>731</v>
      </c>
      <c r="B12" s="6" t="s">
        <v>36</v>
      </c>
      <c r="C12" s="6" t="s">
        <v>292</v>
      </c>
      <c r="D12" s="319"/>
    </row>
    <row r="13" spans="1:4" x14ac:dyDescent="0.25">
      <c r="A13" s="5" t="s">
        <v>732</v>
      </c>
      <c r="B13" s="6" t="s">
        <v>121</v>
      </c>
      <c r="C13" s="6" t="s">
        <v>309</v>
      </c>
      <c r="D13" s="319"/>
    </row>
    <row r="14" spans="1:4" ht="15.75" thickBot="1" x14ac:dyDescent="0.3">
      <c r="A14" s="2" t="s">
        <v>733</v>
      </c>
      <c r="B14" s="3" t="s">
        <v>120</v>
      </c>
      <c r="C14" s="3" t="s">
        <v>309</v>
      </c>
      <c r="D14" s="330"/>
    </row>
    <row r="15" spans="1:4" ht="105.75" thickTop="1" x14ac:dyDescent="0.25">
      <c r="A15" s="142" t="s">
        <v>1441</v>
      </c>
      <c r="B15" s="22"/>
      <c r="C15" s="242"/>
      <c r="D15" s="331" t="s">
        <v>764</v>
      </c>
    </row>
    <row r="16" spans="1:4" ht="45" x14ac:dyDescent="0.25">
      <c r="A16" s="17" t="s">
        <v>1444</v>
      </c>
      <c r="B16" s="12" t="s">
        <v>57</v>
      </c>
      <c r="C16" s="12" t="s">
        <v>1286</v>
      </c>
      <c r="D16" s="318"/>
    </row>
    <row r="17" spans="1:4" x14ac:dyDescent="0.25">
      <c r="A17" s="17" t="s">
        <v>1442</v>
      </c>
      <c r="B17" s="12" t="s">
        <v>1445</v>
      </c>
      <c r="C17" s="12" t="s">
        <v>1447</v>
      </c>
      <c r="D17" s="321"/>
    </row>
    <row r="18" spans="1:4" ht="15.75" thickBot="1" x14ac:dyDescent="0.3">
      <c r="A18" s="206" t="s">
        <v>1443</v>
      </c>
      <c r="B18" s="57" t="s">
        <v>1446</v>
      </c>
      <c r="C18" s="57" t="s">
        <v>1448</v>
      </c>
      <c r="D18" s="323"/>
    </row>
    <row r="19" spans="1:4" ht="15.75" thickTop="1" x14ac:dyDescent="0.25">
      <c r="A19" s="142" t="s">
        <v>1440</v>
      </c>
      <c r="B19" s="22"/>
      <c r="C19" s="22"/>
      <c r="D19" s="331"/>
    </row>
    <row r="20" spans="1:4" ht="30" x14ac:dyDescent="0.25">
      <c r="A20" s="65" t="s">
        <v>734</v>
      </c>
      <c r="B20" s="6"/>
      <c r="C20" s="6"/>
      <c r="D20" s="319" t="s">
        <v>759</v>
      </c>
    </row>
    <row r="21" spans="1:4" ht="75" x14ac:dyDescent="0.25">
      <c r="A21" s="17" t="s">
        <v>760</v>
      </c>
      <c r="B21" s="12" t="s">
        <v>1</v>
      </c>
      <c r="C21" s="12" t="s">
        <v>1</v>
      </c>
      <c r="D21" s="319" t="s">
        <v>765</v>
      </c>
    </row>
    <row r="22" spans="1:4" x14ac:dyDescent="0.25">
      <c r="A22" s="5" t="s">
        <v>58</v>
      </c>
      <c r="B22" s="6" t="s">
        <v>59</v>
      </c>
      <c r="C22" s="69">
        <f>DOMZEROIP</f>
        <v>0</v>
      </c>
      <c r="D22" s="319"/>
    </row>
    <row r="23" spans="1:4" x14ac:dyDescent="0.25">
      <c r="A23" s="5" t="s">
        <v>1517</v>
      </c>
      <c r="B23" s="6" t="s">
        <v>60</v>
      </c>
      <c r="C23" s="69">
        <f>CDOMIP</f>
        <v>0</v>
      </c>
      <c r="D23" s="319"/>
    </row>
    <row r="24" spans="1:4" x14ac:dyDescent="0.25">
      <c r="A24" s="5" t="s">
        <v>61</v>
      </c>
      <c r="B24" s="6" t="s">
        <v>62</v>
      </c>
      <c r="C24" s="69">
        <f>DOMZERODEFGW</f>
        <v>0</v>
      </c>
      <c r="D24" s="319"/>
    </row>
    <row r="25" spans="1:4" x14ac:dyDescent="0.25">
      <c r="A25" s="5" t="s">
        <v>63</v>
      </c>
      <c r="B25" s="6" t="s">
        <v>64</v>
      </c>
      <c r="C25" s="69">
        <f>DOMZERONETMASK</f>
        <v>0</v>
      </c>
      <c r="D25" s="319"/>
    </row>
    <row r="26" spans="1:4" ht="45" x14ac:dyDescent="0.25">
      <c r="A26" s="65" t="s">
        <v>65</v>
      </c>
      <c r="B26" s="11" t="s">
        <v>66</v>
      </c>
      <c r="C26" s="183">
        <f>PRIMARYDNSIP</f>
        <v>0</v>
      </c>
      <c r="D26" s="332" t="s">
        <v>985</v>
      </c>
    </row>
    <row r="27" spans="1:4" ht="45" x14ac:dyDescent="0.25">
      <c r="A27" s="65" t="s">
        <v>67</v>
      </c>
      <c r="B27" s="11" t="s">
        <v>68</v>
      </c>
      <c r="C27" s="183">
        <f>SECONDARYDNSIP</f>
        <v>0</v>
      </c>
      <c r="D27" s="332" t="s">
        <v>985</v>
      </c>
    </row>
    <row r="28" spans="1:4" x14ac:dyDescent="0.25">
      <c r="A28" s="5" t="s">
        <v>434</v>
      </c>
      <c r="B28" s="6" t="s">
        <v>435</v>
      </c>
      <c r="C28" s="69">
        <f>SRVRDOMAIN</f>
        <v>0</v>
      </c>
      <c r="D28" s="319"/>
    </row>
    <row r="29" spans="1:4" ht="105" x14ac:dyDescent="0.25">
      <c r="A29" s="65" t="s">
        <v>125</v>
      </c>
      <c r="B29" s="11" t="s">
        <v>69</v>
      </c>
      <c r="C29" s="70">
        <f>CMIP</f>
        <v>0</v>
      </c>
      <c r="D29" s="319" t="s">
        <v>735</v>
      </c>
    </row>
    <row r="30" spans="1:4" ht="30" x14ac:dyDescent="0.25">
      <c r="A30" s="65"/>
      <c r="B30" s="11"/>
      <c r="C30" s="70"/>
      <c r="D30" s="319" t="s">
        <v>1539</v>
      </c>
    </row>
    <row r="31" spans="1:4" x14ac:dyDescent="0.25">
      <c r="A31" s="5" t="s">
        <v>436</v>
      </c>
      <c r="B31" s="6" t="s">
        <v>70</v>
      </c>
      <c r="C31" s="67">
        <f>CMHOSTNAME</f>
        <v>0</v>
      </c>
      <c r="D31" s="319"/>
    </row>
    <row r="32" spans="1:4" x14ac:dyDescent="0.25">
      <c r="A32" s="5" t="s">
        <v>126</v>
      </c>
      <c r="B32" s="6" t="s">
        <v>38</v>
      </c>
      <c r="C32" s="67">
        <f>USIP</f>
        <v>0</v>
      </c>
      <c r="D32" s="319"/>
    </row>
    <row r="33" spans="1:4" x14ac:dyDescent="0.25">
      <c r="A33" s="5" t="s">
        <v>437</v>
      </c>
      <c r="B33" s="6" t="s">
        <v>71</v>
      </c>
      <c r="C33" s="67">
        <f>USHOSTNAME</f>
        <v>0</v>
      </c>
      <c r="D33" s="319"/>
    </row>
    <row r="34" spans="1:4" x14ac:dyDescent="0.25">
      <c r="A34" s="5" t="s">
        <v>515</v>
      </c>
      <c r="B34" s="6" t="s">
        <v>516</v>
      </c>
      <c r="C34" s="67">
        <f>AESIP</f>
        <v>0</v>
      </c>
      <c r="D34" s="319"/>
    </row>
    <row r="35" spans="1:4" x14ac:dyDescent="0.25">
      <c r="A35" s="5" t="s">
        <v>518</v>
      </c>
      <c r="B35" s="6" t="s">
        <v>517</v>
      </c>
      <c r="C35" s="67">
        <f>AESHOSTNAME</f>
        <v>0</v>
      </c>
      <c r="D35" s="319"/>
    </row>
    <row r="36" spans="1:4" x14ac:dyDescent="0.25">
      <c r="A36" s="5" t="s">
        <v>127</v>
      </c>
      <c r="B36" s="6" t="s">
        <v>439</v>
      </c>
      <c r="C36" s="67">
        <f>SMIP</f>
        <v>0</v>
      </c>
      <c r="D36" s="319"/>
    </row>
    <row r="37" spans="1:4" x14ac:dyDescent="0.25">
      <c r="A37" s="5" t="s">
        <v>438</v>
      </c>
      <c r="B37" s="6" t="s">
        <v>440</v>
      </c>
      <c r="C37" s="67">
        <f>SMHOSTNAME</f>
        <v>0</v>
      </c>
      <c r="D37" s="319"/>
    </row>
    <row r="38" spans="1:4" x14ac:dyDescent="0.25">
      <c r="A38" s="5" t="s">
        <v>441</v>
      </c>
      <c r="B38" s="6" t="s">
        <v>442</v>
      </c>
      <c r="C38" s="67">
        <f>SMENTITYIP</f>
        <v>0</v>
      </c>
      <c r="D38" s="319"/>
    </row>
    <row r="39" spans="1:4" x14ac:dyDescent="0.25">
      <c r="A39" s="5" t="s">
        <v>514</v>
      </c>
      <c r="B39" s="6" t="s">
        <v>132</v>
      </c>
      <c r="C39" s="67">
        <f>PS6IP</f>
        <v>0</v>
      </c>
      <c r="D39" s="319"/>
    </row>
    <row r="40" spans="1:4" x14ac:dyDescent="0.25">
      <c r="A40" s="5" t="s">
        <v>513</v>
      </c>
      <c r="B40" s="6" t="s">
        <v>133</v>
      </c>
      <c r="C40" s="67">
        <f>PSHOSTNAME</f>
        <v>0</v>
      </c>
      <c r="D40" s="319"/>
    </row>
    <row r="41" spans="1:4" x14ac:dyDescent="0.25">
      <c r="A41" s="5" t="s">
        <v>128</v>
      </c>
      <c r="B41" s="6" t="s">
        <v>72</v>
      </c>
      <c r="C41" s="67">
        <f>SMGRIP</f>
        <v>0</v>
      </c>
      <c r="D41" s="319"/>
    </row>
    <row r="42" spans="1:4" x14ac:dyDescent="0.25">
      <c r="A42" s="33" t="s">
        <v>176</v>
      </c>
      <c r="B42" s="11" t="s">
        <v>73</v>
      </c>
      <c r="C42" s="70">
        <f>SMGRHOSTNAME</f>
        <v>0</v>
      </c>
      <c r="D42" s="319"/>
    </row>
    <row r="43" spans="1:4" ht="30" x14ac:dyDescent="0.25">
      <c r="A43" s="65" t="s">
        <v>443</v>
      </c>
      <c r="B43" s="11" t="s">
        <v>48</v>
      </c>
      <c r="C43" s="70">
        <f>SRVRDOMAIN</f>
        <v>0</v>
      </c>
      <c r="D43" s="319" t="s">
        <v>129</v>
      </c>
    </row>
    <row r="44" spans="1:4" ht="45" x14ac:dyDescent="0.25">
      <c r="A44" s="65" t="s">
        <v>444</v>
      </c>
      <c r="B44" s="11" t="s">
        <v>445</v>
      </c>
      <c r="C44" s="158" t="s">
        <v>309</v>
      </c>
      <c r="D44" s="72" t="s">
        <v>446</v>
      </c>
    </row>
    <row r="45" spans="1:4" ht="15.75" thickBot="1" x14ac:dyDescent="0.3">
      <c r="A45" s="5" t="s">
        <v>74</v>
      </c>
      <c r="B45" s="6" t="s">
        <v>75</v>
      </c>
      <c r="C45" s="6" t="s">
        <v>763</v>
      </c>
      <c r="D45" s="319"/>
    </row>
    <row r="46" spans="1:4" ht="75.75" thickTop="1" x14ac:dyDescent="0.25">
      <c r="A46" s="214" t="s">
        <v>1337</v>
      </c>
      <c r="B46" s="215" t="s">
        <v>1338</v>
      </c>
      <c r="C46" s="254" t="s">
        <v>1339</v>
      </c>
      <c r="D46" s="329" t="s">
        <v>1325</v>
      </c>
    </row>
    <row r="47" spans="1:4" ht="30" x14ac:dyDescent="0.25">
      <c r="A47" s="90" t="s">
        <v>1340</v>
      </c>
      <c r="B47" s="22" t="s">
        <v>1341</v>
      </c>
      <c r="C47" s="242" t="s">
        <v>1342</v>
      </c>
      <c r="D47" s="326"/>
    </row>
    <row r="48" spans="1:4" ht="15.75" thickBot="1" x14ac:dyDescent="0.3">
      <c r="A48" s="252" t="s">
        <v>74</v>
      </c>
      <c r="B48" s="261" t="s">
        <v>75</v>
      </c>
      <c r="C48" s="3" t="s">
        <v>763</v>
      </c>
      <c r="D48" s="330"/>
    </row>
    <row r="49" spans="1:4" ht="45.75" thickTop="1" x14ac:dyDescent="0.25">
      <c r="A49" s="190" t="s">
        <v>1373</v>
      </c>
      <c r="B49" s="14" t="s">
        <v>76</v>
      </c>
      <c r="C49" s="257">
        <f>CUSTUSERNAME</f>
        <v>0</v>
      </c>
      <c r="D49" s="333" t="s">
        <v>1233</v>
      </c>
    </row>
    <row r="50" spans="1:4" ht="30" x14ac:dyDescent="0.25">
      <c r="A50" s="5" t="s">
        <v>77</v>
      </c>
      <c r="B50" s="6" t="s">
        <v>78</v>
      </c>
      <c r="C50" s="67">
        <f>CUSTPASSWORD</f>
        <v>0</v>
      </c>
      <c r="D50" s="334" t="s">
        <v>1225</v>
      </c>
    </row>
    <row r="51" spans="1:4" x14ac:dyDescent="0.25">
      <c r="A51" s="5" t="s">
        <v>79</v>
      </c>
      <c r="B51" s="6" t="s">
        <v>80</v>
      </c>
      <c r="C51" s="67">
        <f>CUSTPASSWORD</f>
        <v>0</v>
      </c>
      <c r="D51" s="319"/>
    </row>
    <row r="52" spans="1:4" x14ac:dyDescent="0.25">
      <c r="A52" s="5" t="s">
        <v>448</v>
      </c>
      <c r="B52" s="6" t="s">
        <v>78</v>
      </c>
      <c r="C52" s="67">
        <f>SMGRUSERPW</f>
        <v>0</v>
      </c>
      <c r="D52" s="319"/>
    </row>
    <row r="53" spans="1:4" x14ac:dyDescent="0.25">
      <c r="A53" s="5" t="s">
        <v>449</v>
      </c>
      <c r="B53" s="6" t="s">
        <v>80</v>
      </c>
      <c r="C53" s="67">
        <f>SMGRUSERPW</f>
        <v>0</v>
      </c>
      <c r="D53" s="319"/>
    </row>
    <row r="54" spans="1:4" ht="30" x14ac:dyDescent="0.25">
      <c r="A54" s="65" t="s">
        <v>81</v>
      </c>
      <c r="B54" s="11" t="s">
        <v>40</v>
      </c>
      <c r="C54" s="23" t="s">
        <v>41</v>
      </c>
      <c r="D54" s="334" t="s">
        <v>761</v>
      </c>
    </row>
    <row r="55" spans="1:4" x14ac:dyDescent="0.25">
      <c r="A55" s="5" t="s">
        <v>1112</v>
      </c>
      <c r="B55" s="6" t="s">
        <v>762</v>
      </c>
      <c r="C55" s="6" t="s">
        <v>762</v>
      </c>
      <c r="D55" s="334" t="s">
        <v>1113</v>
      </c>
    </row>
    <row r="56" spans="1:4" x14ac:dyDescent="0.25">
      <c r="A56" s="5" t="s">
        <v>74</v>
      </c>
      <c r="B56" s="6" t="s">
        <v>75</v>
      </c>
      <c r="C56" s="6" t="s">
        <v>763</v>
      </c>
      <c r="D56" s="319"/>
    </row>
    <row r="57" spans="1:4" x14ac:dyDescent="0.25">
      <c r="A57" s="5" t="s">
        <v>521</v>
      </c>
      <c r="B57" s="6" t="s">
        <v>82</v>
      </c>
      <c r="C57" s="67">
        <f>COUNTRY</f>
        <v>0</v>
      </c>
      <c r="D57" s="319"/>
    </row>
    <row r="58" spans="1:4" ht="15.75" thickBot="1" x14ac:dyDescent="0.3">
      <c r="A58" s="5" t="s">
        <v>74</v>
      </c>
      <c r="B58" s="6" t="s">
        <v>75</v>
      </c>
      <c r="C58" s="6" t="s">
        <v>763</v>
      </c>
      <c r="D58" s="319"/>
    </row>
    <row r="59" spans="1:4" ht="60.75" thickTop="1" x14ac:dyDescent="0.25">
      <c r="A59" s="217" t="s">
        <v>986</v>
      </c>
      <c r="B59" s="4"/>
      <c r="C59" s="4"/>
      <c r="D59" s="367" t="s">
        <v>987</v>
      </c>
    </row>
    <row r="60" spans="1:4" ht="45" x14ac:dyDescent="0.25">
      <c r="A60" s="90" t="s">
        <v>974</v>
      </c>
      <c r="B60" s="22" t="s">
        <v>975</v>
      </c>
      <c r="C60" s="22" t="s">
        <v>976</v>
      </c>
      <c r="D60" s="335" t="s">
        <v>977</v>
      </c>
    </row>
    <row r="61" spans="1:4" ht="30" x14ac:dyDescent="0.25">
      <c r="A61" s="17" t="s">
        <v>979</v>
      </c>
      <c r="B61" s="12" t="s">
        <v>978</v>
      </c>
      <c r="C61" s="183">
        <f>DHCP_STARTING</f>
        <v>0</v>
      </c>
      <c r="D61" s="319"/>
    </row>
    <row r="62" spans="1:4" ht="30" x14ac:dyDescent="0.25">
      <c r="A62" s="171" t="s">
        <v>980</v>
      </c>
      <c r="B62" s="59" t="s">
        <v>978</v>
      </c>
      <c r="C62" s="218">
        <f>DHCP_ENDING</f>
        <v>0</v>
      </c>
      <c r="D62" s="336"/>
    </row>
    <row r="63" spans="1:4" ht="15.75" thickBot="1" x14ac:dyDescent="0.3">
      <c r="A63" s="264" t="s">
        <v>74</v>
      </c>
      <c r="B63" s="94" t="s">
        <v>75</v>
      </c>
      <c r="C63" s="94" t="s">
        <v>763</v>
      </c>
      <c r="D63" s="337"/>
    </row>
    <row r="64" spans="1:4" ht="15.75" thickTop="1" x14ac:dyDescent="0.25">
      <c r="A64" s="255" t="s">
        <v>85</v>
      </c>
      <c r="B64" s="4" t="s">
        <v>86</v>
      </c>
      <c r="C64" s="4" t="s">
        <v>84</v>
      </c>
      <c r="D64" s="329"/>
    </row>
    <row r="65" spans="1:4" ht="15.75" thickBot="1" x14ac:dyDescent="0.3">
      <c r="A65" s="2" t="s">
        <v>74</v>
      </c>
      <c r="B65" s="3" t="s">
        <v>75</v>
      </c>
      <c r="C65" s="3" t="s">
        <v>763</v>
      </c>
      <c r="D65" s="330"/>
    </row>
    <row r="66" spans="1:4" ht="15.75" thickTop="1" x14ac:dyDescent="0.25">
      <c r="A66" s="255" t="s">
        <v>87</v>
      </c>
      <c r="B66" s="4" t="s">
        <v>88</v>
      </c>
      <c r="C66" s="251">
        <f>MEDIAGWTYPE</f>
        <v>0</v>
      </c>
      <c r="D66" s="329"/>
    </row>
    <row r="67" spans="1:4" x14ac:dyDescent="0.25">
      <c r="A67" s="5" t="s">
        <v>594</v>
      </c>
      <c r="B67" s="6" t="s">
        <v>89</v>
      </c>
      <c r="C67" s="67">
        <f>MEDIAGWSERNO</f>
        <v>0</v>
      </c>
      <c r="D67" s="319"/>
    </row>
    <row r="68" spans="1:4" x14ac:dyDescent="0.25">
      <c r="A68" s="5" t="s">
        <v>90</v>
      </c>
      <c r="B68" s="6" t="s">
        <v>91</v>
      </c>
      <c r="C68" s="6" t="s">
        <v>1</v>
      </c>
      <c r="D68" s="319"/>
    </row>
    <row r="69" spans="1:4" ht="15.75" thickBot="1" x14ac:dyDescent="0.3">
      <c r="A69" s="2" t="s">
        <v>74</v>
      </c>
      <c r="B69" s="3" t="s">
        <v>75</v>
      </c>
      <c r="C69" s="3" t="s">
        <v>763</v>
      </c>
      <c r="D69" s="330"/>
    </row>
    <row r="70" spans="1:4" ht="90.75" thickTop="1" x14ac:dyDescent="0.25">
      <c r="A70" s="258" t="s">
        <v>92</v>
      </c>
      <c r="B70" s="89" t="s">
        <v>93</v>
      </c>
      <c r="C70" s="259">
        <f>DIALPLANLENGTH</f>
        <v>0</v>
      </c>
      <c r="D70" s="335" t="s">
        <v>988</v>
      </c>
    </row>
    <row r="71" spans="1:4" ht="75" x14ac:dyDescent="0.25">
      <c r="A71" s="169" t="s">
        <v>736</v>
      </c>
      <c r="B71" s="33"/>
      <c r="C71" s="219"/>
      <c r="D71" s="319" t="s">
        <v>1061</v>
      </c>
    </row>
    <row r="72" spans="1:4" ht="30" x14ac:dyDescent="0.25">
      <c r="A72" s="169" t="s">
        <v>1062</v>
      </c>
      <c r="B72" s="6"/>
      <c r="C72" s="67"/>
      <c r="D72" s="319" t="s">
        <v>1063</v>
      </c>
    </row>
    <row r="73" spans="1:4" ht="15.75" thickBot="1" x14ac:dyDescent="0.3">
      <c r="A73" s="265" t="s">
        <v>74</v>
      </c>
      <c r="B73" s="3" t="s">
        <v>75</v>
      </c>
      <c r="C73" s="3" t="s">
        <v>763</v>
      </c>
      <c r="D73" s="330"/>
    </row>
    <row r="74" spans="1:4" ht="15.75" thickTop="1" x14ac:dyDescent="0.25">
      <c r="A74" s="190" t="s">
        <v>94</v>
      </c>
      <c r="B74" s="14" t="s">
        <v>1</v>
      </c>
      <c r="C74" s="14" t="s">
        <v>1</v>
      </c>
      <c r="D74" s="326"/>
    </row>
    <row r="75" spans="1:4" ht="15.75" thickBot="1" x14ac:dyDescent="0.3">
      <c r="A75" s="2" t="s">
        <v>74</v>
      </c>
      <c r="B75" s="3" t="s">
        <v>75</v>
      </c>
      <c r="C75" s="3" t="s">
        <v>763</v>
      </c>
      <c r="D75" s="330"/>
    </row>
    <row r="76" spans="1:4" ht="15.75" thickTop="1" x14ac:dyDescent="0.25">
      <c r="A76" s="64" t="s">
        <v>293</v>
      </c>
      <c r="B76" s="31" t="s">
        <v>43</v>
      </c>
      <c r="C76" s="248">
        <f>ENROLLPASSWD</f>
        <v>0</v>
      </c>
      <c r="D76" s="326"/>
    </row>
    <row r="77" spans="1:4" x14ac:dyDescent="0.25">
      <c r="A77" s="32" t="s">
        <v>451</v>
      </c>
      <c r="B77" s="29" t="s">
        <v>452</v>
      </c>
      <c r="C77" s="68">
        <f>ENROLLPASSWD</f>
        <v>0</v>
      </c>
      <c r="D77" s="319"/>
    </row>
    <row r="78" spans="1:4" x14ac:dyDescent="0.25">
      <c r="A78" s="5" t="s">
        <v>453</v>
      </c>
      <c r="B78" s="6" t="s">
        <v>454</v>
      </c>
      <c r="C78" s="67">
        <f>SIPDOMAIN</f>
        <v>0</v>
      </c>
      <c r="D78" s="319"/>
    </row>
    <row r="79" spans="1:4" ht="15.75" thickBot="1" x14ac:dyDescent="0.3">
      <c r="A79" s="2" t="s">
        <v>74</v>
      </c>
      <c r="B79" s="3" t="s">
        <v>75</v>
      </c>
      <c r="C79" s="3" t="s">
        <v>763</v>
      </c>
      <c r="D79" s="330"/>
    </row>
    <row r="80" spans="1:4" ht="15.75" thickTop="1" x14ac:dyDescent="0.25">
      <c r="A80" s="190" t="s">
        <v>455</v>
      </c>
      <c r="B80" s="14" t="s">
        <v>195</v>
      </c>
      <c r="C80" s="257">
        <f>SPTIMEZONE</f>
        <v>0</v>
      </c>
      <c r="D80" s="326"/>
    </row>
    <row r="81" spans="1:4" x14ac:dyDescent="0.25">
      <c r="A81" s="5" t="s">
        <v>456</v>
      </c>
      <c r="B81" s="6" t="s">
        <v>457</v>
      </c>
      <c r="C81" s="67">
        <f>LOCATIONNAME</f>
        <v>0</v>
      </c>
      <c r="D81" s="319"/>
    </row>
    <row r="82" spans="1:4" ht="60" x14ac:dyDescent="0.25">
      <c r="A82" s="13" t="s">
        <v>1114</v>
      </c>
      <c r="B82" s="12" t="s">
        <v>1115</v>
      </c>
      <c r="C82" s="36" t="s">
        <v>309</v>
      </c>
      <c r="D82" s="338" t="s">
        <v>1116</v>
      </c>
    </row>
    <row r="83" spans="1:4" x14ac:dyDescent="0.25">
      <c r="A83" s="5" t="s">
        <v>1117</v>
      </c>
      <c r="B83" s="6" t="s">
        <v>1118</v>
      </c>
      <c r="C83" s="105" t="s">
        <v>1119</v>
      </c>
      <c r="D83" s="319"/>
    </row>
    <row r="84" spans="1:4" ht="60" x14ac:dyDescent="0.25">
      <c r="A84" s="5" t="s">
        <v>1140</v>
      </c>
      <c r="B84" s="6" t="s">
        <v>1141</v>
      </c>
      <c r="C84" s="67">
        <f>PS_ROUTERSERVICENAME</f>
        <v>0</v>
      </c>
      <c r="D84" s="319" t="s">
        <v>1142</v>
      </c>
    </row>
    <row r="85" spans="1:4" x14ac:dyDescent="0.25">
      <c r="A85" s="65" t="s">
        <v>1089</v>
      </c>
      <c r="B85" s="11" t="s">
        <v>1082</v>
      </c>
      <c r="C85" s="183">
        <f>SNMP_UNPREFIX</f>
        <v>0</v>
      </c>
      <c r="D85" s="319"/>
    </row>
    <row r="86" spans="1:4" x14ac:dyDescent="0.25">
      <c r="A86" s="65" t="s">
        <v>1090</v>
      </c>
      <c r="B86" s="11" t="s">
        <v>1083</v>
      </c>
      <c r="C86" s="183">
        <f>SNMP_AUTH_PASS</f>
        <v>0</v>
      </c>
      <c r="D86" s="319"/>
    </row>
    <row r="87" spans="1:4" x14ac:dyDescent="0.25">
      <c r="A87" s="65" t="s">
        <v>1091</v>
      </c>
      <c r="B87" s="11" t="s">
        <v>1084</v>
      </c>
      <c r="C87" s="183">
        <f>SNMP_PRIV_PASS</f>
        <v>0</v>
      </c>
      <c r="D87" s="319"/>
    </row>
    <row r="88" spans="1:4" ht="15.75" thickBot="1" x14ac:dyDescent="0.3">
      <c r="A88" s="266" t="s">
        <v>1085</v>
      </c>
      <c r="B88" s="204" t="s">
        <v>75</v>
      </c>
      <c r="C88" s="204" t="s">
        <v>763</v>
      </c>
      <c r="D88" s="330"/>
    </row>
    <row r="89" spans="1:4" ht="150.75" thickTop="1" x14ac:dyDescent="0.25">
      <c r="A89" s="247" t="s">
        <v>95</v>
      </c>
      <c r="B89" s="89" t="s">
        <v>1</v>
      </c>
      <c r="C89" s="89" t="s">
        <v>1</v>
      </c>
      <c r="D89" s="73" t="s">
        <v>522</v>
      </c>
    </row>
    <row r="90" spans="1:4" x14ac:dyDescent="0.25">
      <c r="A90" s="5" t="s">
        <v>74</v>
      </c>
      <c r="B90" s="6" t="s">
        <v>75</v>
      </c>
      <c r="C90" s="6" t="s">
        <v>763</v>
      </c>
      <c r="D90" s="319"/>
    </row>
    <row r="91" spans="1:4" x14ac:dyDescent="0.25">
      <c r="A91" s="5" t="s">
        <v>737</v>
      </c>
      <c r="B91" s="6" t="s">
        <v>96</v>
      </c>
      <c r="C91" s="6" t="s">
        <v>1</v>
      </c>
      <c r="D91" s="319"/>
    </row>
    <row r="92" spans="1:4" x14ac:dyDescent="0.25">
      <c r="A92" s="5" t="s">
        <v>738</v>
      </c>
      <c r="B92" s="6" t="s">
        <v>97</v>
      </c>
      <c r="C92" s="6" t="s">
        <v>1</v>
      </c>
      <c r="D92" s="319"/>
    </row>
    <row r="93" spans="1:4" ht="330.75" thickBot="1" x14ac:dyDescent="0.3">
      <c r="A93" s="206" t="s">
        <v>248</v>
      </c>
      <c r="B93" s="57" t="s">
        <v>1</v>
      </c>
      <c r="C93" s="57" t="s">
        <v>1</v>
      </c>
      <c r="D93" s="339" t="s">
        <v>1064</v>
      </c>
    </row>
    <row r="94" spans="1:4" ht="15.75" thickTop="1" x14ac:dyDescent="0.25">
      <c r="A94" s="132"/>
      <c r="B94" s="112"/>
      <c r="C94" s="112"/>
      <c r="D94" s="132"/>
    </row>
    <row r="95" spans="1:4" x14ac:dyDescent="0.25">
      <c r="A95" s="132"/>
      <c r="B95" s="112"/>
      <c r="C95" s="112"/>
      <c r="D95" s="132"/>
    </row>
    <row r="96" spans="1:4" x14ac:dyDescent="0.25">
      <c r="A96" s="132"/>
      <c r="B96" s="112"/>
      <c r="C96" s="112"/>
      <c r="D96" s="132"/>
    </row>
    <row r="97" spans="1:4" x14ac:dyDescent="0.25">
      <c r="A97" s="132"/>
      <c r="B97" s="112"/>
      <c r="C97" s="112"/>
      <c r="D97" s="132"/>
    </row>
    <row r="98" spans="1:4" x14ac:dyDescent="0.25">
      <c r="A98" s="132"/>
      <c r="B98" s="112"/>
      <c r="C98" s="112"/>
      <c r="D98" s="132"/>
    </row>
    <row r="99" spans="1:4" x14ac:dyDescent="0.25">
      <c r="A99" s="132"/>
      <c r="B99" s="112"/>
      <c r="C99" s="112"/>
      <c r="D99" s="132"/>
    </row>
    <row r="100" spans="1:4" x14ac:dyDescent="0.25">
      <c r="A100" s="132"/>
      <c r="B100" s="112"/>
      <c r="C100" s="112"/>
      <c r="D100" s="132"/>
    </row>
    <row r="101" spans="1:4" x14ac:dyDescent="0.25">
      <c r="A101" s="132"/>
      <c r="B101" s="112"/>
      <c r="C101" s="112"/>
      <c r="D101" s="132"/>
    </row>
    <row r="102" spans="1:4" x14ac:dyDescent="0.25">
      <c r="A102" s="132"/>
      <c r="B102" s="112"/>
      <c r="C102" s="112"/>
      <c r="D102" s="132"/>
    </row>
    <row r="103" spans="1:4" x14ac:dyDescent="0.25">
      <c r="A103" s="132"/>
      <c r="B103" s="112"/>
      <c r="C103" s="112"/>
      <c r="D103" s="132"/>
    </row>
    <row r="104" spans="1:4" x14ac:dyDescent="0.25">
      <c r="A104" s="132"/>
      <c r="B104" s="112"/>
      <c r="C104" s="112"/>
      <c r="D104" s="132"/>
    </row>
    <row r="105" spans="1:4" x14ac:dyDescent="0.25">
      <c r="A105" s="132"/>
      <c r="B105" s="112"/>
      <c r="C105" s="112"/>
      <c r="D105" s="132"/>
    </row>
    <row r="106" spans="1:4" x14ac:dyDescent="0.25">
      <c r="A106" s="132"/>
      <c r="B106" s="112"/>
      <c r="C106" s="112"/>
      <c r="D106" s="132"/>
    </row>
    <row r="107" spans="1:4" x14ac:dyDescent="0.25">
      <c r="A107" s="132"/>
      <c r="B107" s="112"/>
      <c r="C107" s="112"/>
      <c r="D107" s="132"/>
    </row>
    <row r="108" spans="1:4" x14ac:dyDescent="0.25">
      <c r="A108" s="132"/>
      <c r="B108" s="112"/>
      <c r="C108" s="112"/>
      <c r="D108" s="132"/>
    </row>
    <row r="109" spans="1:4" x14ac:dyDescent="0.25">
      <c r="A109" s="132"/>
      <c r="B109" s="112"/>
      <c r="C109" s="112"/>
      <c r="D109" s="132"/>
    </row>
  </sheetData>
  <sheetProtection sheet="1" objects="1" scenarios="1"/>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77"/>
  <sheetViews>
    <sheetView zoomScaleNormal="100" workbookViewId="0">
      <pane ySplit="1" topLeftCell="A2" activePane="bottomLeft" state="frozen"/>
      <selection activeCell="C89" sqref="C89"/>
      <selection pane="bottomLeft" activeCell="B13" sqref="B13"/>
    </sheetView>
  </sheetViews>
  <sheetFormatPr defaultRowHeight="15" x14ac:dyDescent="0.25"/>
  <cols>
    <col min="1" max="1" width="65.7109375" customWidth="1"/>
    <col min="2" max="2" width="32" style="1" customWidth="1"/>
    <col min="3" max="3" width="36.7109375" style="1" customWidth="1"/>
    <col min="4" max="4" width="33" customWidth="1"/>
  </cols>
  <sheetData>
    <row r="1" spans="1:4" ht="15.75" thickBot="1" x14ac:dyDescent="0.3">
      <c r="A1" s="42" t="s">
        <v>11</v>
      </c>
      <c r="B1" s="43" t="s">
        <v>3</v>
      </c>
      <c r="C1" s="44" t="s">
        <v>193</v>
      </c>
      <c r="D1" s="45" t="s">
        <v>122</v>
      </c>
    </row>
    <row r="2" spans="1:4" ht="45.75" thickTop="1" x14ac:dyDescent="0.25">
      <c r="A2" s="186" t="s">
        <v>740</v>
      </c>
      <c r="B2" s="4"/>
      <c r="D2" s="187" t="s">
        <v>739</v>
      </c>
    </row>
    <row r="3" spans="1:4" x14ac:dyDescent="0.25">
      <c r="A3" s="5" t="s">
        <v>741</v>
      </c>
      <c r="B3" s="12" t="s">
        <v>278</v>
      </c>
      <c r="C3" s="188" t="s">
        <v>742</v>
      </c>
      <c r="D3" s="29"/>
    </row>
    <row r="4" spans="1:4" x14ac:dyDescent="0.25">
      <c r="A4" s="17" t="s">
        <v>1750</v>
      </c>
      <c r="B4" s="348" t="s">
        <v>1751</v>
      </c>
      <c r="C4" s="189" t="s">
        <v>1752</v>
      </c>
      <c r="D4" s="31"/>
    </row>
    <row r="5" spans="1:4" ht="45" x14ac:dyDescent="0.25">
      <c r="A5" s="17" t="s">
        <v>1774</v>
      </c>
      <c r="B5" s="348" t="s">
        <v>1754</v>
      </c>
      <c r="C5" s="189" t="s">
        <v>745</v>
      </c>
      <c r="D5" s="29"/>
    </row>
    <row r="6" spans="1:4" x14ac:dyDescent="0.25">
      <c r="A6" s="17" t="s">
        <v>1775</v>
      </c>
      <c r="B6" s="348" t="s">
        <v>1756</v>
      </c>
      <c r="C6" s="189" t="s">
        <v>1757</v>
      </c>
      <c r="D6" s="29"/>
    </row>
    <row r="7" spans="1:4" ht="30" x14ac:dyDescent="0.25">
      <c r="A7" s="17" t="s">
        <v>743</v>
      </c>
      <c r="B7" s="22" t="s">
        <v>744</v>
      </c>
      <c r="C7" s="189" t="s">
        <v>745</v>
      </c>
      <c r="D7" s="29"/>
    </row>
    <row r="8" spans="1:4" ht="30" x14ac:dyDescent="0.25">
      <c r="A8" s="17" t="s">
        <v>1777</v>
      </c>
      <c r="B8" s="348" t="s">
        <v>1758</v>
      </c>
      <c r="C8" s="383" t="s">
        <v>1778</v>
      </c>
      <c r="D8" s="29"/>
    </row>
    <row r="9" spans="1:4" ht="45" x14ac:dyDescent="0.25">
      <c r="A9" s="17" t="s">
        <v>1655</v>
      </c>
      <c r="B9" s="22" t="s">
        <v>1654</v>
      </c>
      <c r="C9" s="189" t="s">
        <v>1656</v>
      </c>
      <c r="D9" s="29" t="s">
        <v>746</v>
      </c>
    </row>
    <row r="10" spans="1:4" x14ac:dyDescent="0.25">
      <c r="A10" s="17" t="s">
        <v>747</v>
      </c>
      <c r="B10" s="22" t="s">
        <v>748</v>
      </c>
      <c r="C10" s="189" t="s">
        <v>749</v>
      </c>
      <c r="D10" s="29"/>
    </row>
    <row r="11" spans="1:4" x14ac:dyDescent="0.25">
      <c r="A11" s="17" t="s">
        <v>1657</v>
      </c>
      <c r="B11" s="22" t="s">
        <v>1</v>
      </c>
      <c r="C11" s="189" t="s">
        <v>1</v>
      </c>
      <c r="D11" s="29"/>
    </row>
    <row r="12" spans="1:4" x14ac:dyDescent="0.25">
      <c r="B12" s="101"/>
      <c r="C12" s="363"/>
      <c r="D12" s="112"/>
    </row>
    <row r="13" spans="1:4" x14ac:dyDescent="0.25">
      <c r="A13" s="110"/>
      <c r="B13" s="101"/>
      <c r="C13" s="101"/>
      <c r="D13" s="112"/>
    </row>
    <row r="14" spans="1:4" x14ac:dyDescent="0.25">
      <c r="A14" s="110"/>
      <c r="B14" s="101"/>
      <c r="C14" s="101"/>
      <c r="D14" s="112"/>
    </row>
    <row r="15" spans="1:4" x14ac:dyDescent="0.25">
      <c r="A15" s="110"/>
      <c r="B15" s="101"/>
      <c r="C15" s="101"/>
      <c r="D15" s="112"/>
    </row>
    <row r="16" spans="1:4" x14ac:dyDescent="0.25">
      <c r="A16" s="110"/>
      <c r="B16" s="101"/>
      <c r="C16" s="101"/>
      <c r="D16" s="112"/>
    </row>
    <row r="17" spans="1:4" x14ac:dyDescent="0.25">
      <c r="A17" s="110"/>
      <c r="B17" s="101"/>
      <c r="C17" s="101"/>
      <c r="D17" s="112"/>
    </row>
    <row r="18" spans="1:4" x14ac:dyDescent="0.25">
      <c r="A18" s="143"/>
      <c r="B18" s="101"/>
      <c r="C18" s="101"/>
      <c r="D18" s="112"/>
    </row>
    <row r="19" spans="1:4" x14ac:dyDescent="0.25">
      <c r="A19" s="124"/>
      <c r="B19" s="125"/>
      <c r="C19" s="125"/>
      <c r="D19" s="112"/>
    </row>
    <row r="20" spans="1:4" x14ac:dyDescent="0.25">
      <c r="A20" s="97"/>
      <c r="B20" s="101"/>
      <c r="C20" s="101"/>
      <c r="D20" s="97"/>
    </row>
    <row r="21" spans="1:4" x14ac:dyDescent="0.25">
      <c r="A21" s="128"/>
      <c r="B21" s="101"/>
      <c r="C21" s="101"/>
      <c r="D21" s="128"/>
    </row>
    <row r="22" spans="1:4" x14ac:dyDescent="0.25">
      <c r="A22" s="126"/>
      <c r="B22" s="112"/>
      <c r="C22" s="144"/>
      <c r="D22" s="132"/>
    </row>
    <row r="23" spans="1:4" x14ac:dyDescent="0.25">
      <c r="A23" s="110"/>
      <c r="B23" s="101"/>
      <c r="C23" s="134"/>
      <c r="D23" s="112"/>
    </row>
    <row r="24" spans="1:4" x14ac:dyDescent="0.25">
      <c r="A24" s="126"/>
      <c r="B24" s="112"/>
      <c r="C24" s="145"/>
      <c r="D24" s="112"/>
    </row>
    <row r="25" spans="1:4" x14ac:dyDescent="0.25">
      <c r="A25" s="128"/>
      <c r="B25" s="101"/>
      <c r="C25" s="101"/>
      <c r="D25" s="115"/>
    </row>
    <row r="26" spans="1:4" x14ac:dyDescent="0.25">
      <c r="A26" s="128"/>
      <c r="B26" s="101"/>
      <c r="C26" s="101"/>
      <c r="D26" s="115"/>
    </row>
    <row r="27" spans="1:4" x14ac:dyDescent="0.25">
      <c r="A27" s="110"/>
      <c r="B27" s="101"/>
      <c r="C27" s="111"/>
      <c r="D27" s="112"/>
    </row>
    <row r="28" spans="1:4" x14ac:dyDescent="0.25">
      <c r="A28" s="113"/>
      <c r="B28" s="114"/>
      <c r="C28" s="115"/>
      <c r="D28" s="115"/>
    </row>
    <row r="29" spans="1:4" x14ac:dyDescent="0.25">
      <c r="A29" s="110"/>
      <c r="B29" s="111"/>
      <c r="C29" s="111"/>
      <c r="D29" s="115"/>
    </row>
    <row r="30" spans="1:4" x14ac:dyDescent="0.25">
      <c r="A30" s="116"/>
      <c r="B30" s="117"/>
      <c r="C30" s="111"/>
      <c r="D30" s="115"/>
    </row>
    <row r="31" spans="1:4" x14ac:dyDescent="0.25">
      <c r="A31" s="110"/>
      <c r="B31" s="111"/>
      <c r="C31" s="111"/>
      <c r="D31" s="115"/>
    </row>
    <row r="32" spans="1:4" x14ac:dyDescent="0.25">
      <c r="A32" s="118"/>
      <c r="B32" s="111"/>
      <c r="C32" s="111"/>
      <c r="D32" s="115"/>
    </row>
    <row r="33" spans="1:4" x14ac:dyDescent="0.25">
      <c r="A33" s="119"/>
      <c r="B33" s="115"/>
      <c r="C33" s="115"/>
      <c r="D33" s="115"/>
    </row>
    <row r="34" spans="1:4" x14ac:dyDescent="0.25">
      <c r="A34" s="116"/>
      <c r="B34" s="120"/>
      <c r="C34" s="121"/>
      <c r="D34" s="122"/>
    </row>
    <row r="35" spans="1:4" x14ac:dyDescent="0.25">
      <c r="A35" s="110"/>
      <c r="B35" s="101"/>
      <c r="C35" s="101"/>
      <c r="D35" s="112"/>
    </row>
    <row r="36" spans="1:4" x14ac:dyDescent="0.25">
      <c r="A36" s="123"/>
      <c r="B36" s="101"/>
      <c r="C36" s="101"/>
      <c r="D36" s="112"/>
    </row>
    <row r="37" spans="1:4" x14ac:dyDescent="0.25">
      <c r="A37" s="124"/>
      <c r="B37" s="125"/>
      <c r="C37" s="125"/>
      <c r="D37" s="112"/>
    </row>
    <row r="38" spans="1:4" x14ac:dyDescent="0.25">
      <c r="A38" s="110"/>
      <c r="B38" s="101"/>
      <c r="C38" s="101"/>
      <c r="D38" s="112"/>
    </row>
    <row r="39" spans="1:4" x14ac:dyDescent="0.25">
      <c r="A39" s="126"/>
      <c r="B39" s="112"/>
      <c r="C39" s="127"/>
      <c r="D39" s="115"/>
    </row>
    <row r="40" spans="1:4" x14ac:dyDescent="0.25">
      <c r="A40" s="126"/>
      <c r="B40" s="112"/>
      <c r="C40" s="125"/>
      <c r="D40" s="112"/>
    </row>
    <row r="41" spans="1:4" x14ac:dyDescent="0.25">
      <c r="A41" s="126"/>
      <c r="B41" s="112"/>
      <c r="C41" s="127"/>
      <c r="D41" s="112"/>
    </row>
    <row r="42" spans="1:4" x14ac:dyDescent="0.25">
      <c r="A42" s="128"/>
      <c r="B42" s="101"/>
      <c r="C42" s="129"/>
      <c r="D42" s="115"/>
    </row>
    <row r="43" spans="1:4" x14ac:dyDescent="0.25">
      <c r="A43" s="128"/>
      <c r="B43" s="101"/>
      <c r="C43" s="111"/>
      <c r="D43" s="112"/>
    </row>
    <row r="44" spans="1:4" x14ac:dyDescent="0.25">
      <c r="A44" s="128"/>
      <c r="B44" s="101"/>
      <c r="C44" s="101"/>
      <c r="D44" s="115"/>
    </row>
    <row r="45" spans="1:4" x14ac:dyDescent="0.25">
      <c r="A45" s="128"/>
      <c r="B45" s="101"/>
      <c r="C45" s="101"/>
      <c r="D45" s="115"/>
    </row>
    <row r="46" spans="1:4" x14ac:dyDescent="0.25">
      <c r="A46" s="123"/>
      <c r="B46" s="101"/>
      <c r="C46" s="101"/>
      <c r="D46" s="115"/>
    </row>
    <row r="47" spans="1:4" x14ac:dyDescent="0.25">
      <c r="A47" s="128"/>
      <c r="B47" s="101"/>
      <c r="C47" s="101"/>
      <c r="D47" s="112"/>
    </row>
    <row r="48" spans="1:4" x14ac:dyDescent="0.25">
      <c r="A48" s="130"/>
      <c r="B48" s="131"/>
      <c r="C48" s="131"/>
      <c r="D48" s="112"/>
    </row>
    <row r="49" spans="1:4" x14ac:dyDescent="0.25">
      <c r="A49" s="132"/>
      <c r="B49" s="125"/>
      <c r="C49" s="125"/>
      <c r="D49" s="132"/>
    </row>
    <row r="50" spans="1:4" x14ac:dyDescent="0.25">
      <c r="A50" s="128"/>
      <c r="B50" s="101"/>
      <c r="C50" s="101"/>
      <c r="D50" s="112"/>
    </row>
    <row r="51" spans="1:4" x14ac:dyDescent="0.25">
      <c r="A51" s="128"/>
      <c r="B51" s="101"/>
      <c r="C51" s="101"/>
      <c r="D51" s="112"/>
    </row>
    <row r="52" spans="1:4" x14ac:dyDescent="0.25">
      <c r="A52" s="123"/>
      <c r="B52" s="101"/>
      <c r="C52" s="101"/>
      <c r="D52" s="112"/>
    </row>
    <row r="53" spans="1:4" x14ac:dyDescent="0.25">
      <c r="A53" s="124"/>
      <c r="B53" s="114"/>
      <c r="C53" s="115"/>
      <c r="D53" s="115"/>
    </row>
    <row r="54" spans="1:4" x14ac:dyDescent="0.25">
      <c r="A54" s="110"/>
      <c r="B54" s="111"/>
      <c r="C54" s="111"/>
      <c r="D54" s="115"/>
    </row>
    <row r="55" spans="1:4" x14ac:dyDescent="0.25">
      <c r="A55" s="110"/>
      <c r="B55" s="111"/>
      <c r="C55" s="111"/>
      <c r="D55" s="115"/>
    </row>
    <row r="56" spans="1:4" x14ac:dyDescent="0.25">
      <c r="A56" s="110"/>
      <c r="B56" s="111"/>
      <c r="C56" s="111"/>
      <c r="D56" s="115"/>
    </row>
    <row r="57" spans="1:4" x14ac:dyDescent="0.25">
      <c r="A57" s="110"/>
      <c r="B57" s="111"/>
      <c r="C57" s="111"/>
      <c r="D57" s="115"/>
    </row>
    <row r="58" spans="1:4" x14ac:dyDescent="0.25">
      <c r="A58" s="119"/>
      <c r="B58" s="115"/>
      <c r="C58" s="115"/>
      <c r="D58" s="115"/>
    </row>
    <row r="59" spans="1:4" x14ac:dyDescent="0.25">
      <c r="A59" s="110"/>
      <c r="B59" s="111"/>
      <c r="C59" s="111"/>
      <c r="D59" s="115"/>
    </row>
    <row r="60" spans="1:4" x14ac:dyDescent="0.25">
      <c r="A60" s="123"/>
      <c r="B60" s="101"/>
      <c r="C60" s="101"/>
      <c r="D60" s="133"/>
    </row>
    <row r="61" spans="1:4" x14ac:dyDescent="0.25">
      <c r="A61" s="110"/>
      <c r="B61" s="101"/>
      <c r="C61" s="134"/>
      <c r="D61" s="133"/>
    </row>
    <row r="62" spans="1:4" x14ac:dyDescent="0.25">
      <c r="A62" s="110"/>
      <c r="B62" s="101"/>
      <c r="C62" s="101"/>
      <c r="D62" s="133"/>
    </row>
    <row r="63" spans="1:4" x14ac:dyDescent="0.25">
      <c r="A63" s="110"/>
      <c r="B63" s="101"/>
      <c r="C63" s="101"/>
      <c r="D63" s="133"/>
    </row>
    <row r="64" spans="1:4" x14ac:dyDescent="0.25">
      <c r="A64" s="110"/>
      <c r="B64" s="101"/>
      <c r="C64" s="101"/>
      <c r="D64" s="133"/>
    </row>
    <row r="65" spans="1:4" x14ac:dyDescent="0.25">
      <c r="A65" s="135"/>
      <c r="B65" s="125"/>
      <c r="C65" s="125"/>
      <c r="D65" s="133"/>
    </row>
    <row r="66" spans="1:4" x14ac:dyDescent="0.25">
      <c r="A66" s="136"/>
      <c r="B66" s="125"/>
      <c r="C66" s="125"/>
      <c r="D66" s="133"/>
    </row>
    <row r="67" spans="1:4" x14ac:dyDescent="0.25">
      <c r="A67" s="132"/>
      <c r="B67" s="112"/>
      <c r="C67" s="137"/>
      <c r="D67" s="132"/>
    </row>
    <row r="68" spans="1:4" x14ac:dyDescent="0.25">
      <c r="A68" s="132"/>
      <c r="B68" s="112"/>
      <c r="C68" s="112"/>
      <c r="D68" s="132"/>
    </row>
    <row r="69" spans="1:4" x14ac:dyDescent="0.25">
      <c r="A69" s="138"/>
      <c r="B69" s="139"/>
      <c r="C69" s="139"/>
      <c r="D69" s="140"/>
    </row>
    <row r="70" spans="1:4" x14ac:dyDescent="0.25">
      <c r="A70" s="123"/>
      <c r="B70" s="101"/>
      <c r="C70" s="101"/>
      <c r="D70" s="112"/>
    </row>
    <row r="71" spans="1:4" x14ac:dyDescent="0.25">
      <c r="A71" s="124"/>
      <c r="B71" s="139"/>
      <c r="C71" s="139"/>
      <c r="D71" s="140"/>
    </row>
    <row r="72" spans="1:4" x14ac:dyDescent="0.25">
      <c r="A72" s="110"/>
      <c r="B72" s="101"/>
      <c r="C72" s="101"/>
      <c r="D72" s="133"/>
    </row>
    <row r="73" spans="1:4" x14ac:dyDescent="0.25">
      <c r="A73" s="110"/>
      <c r="B73" s="101"/>
      <c r="C73" s="101"/>
      <c r="D73" s="133"/>
    </row>
    <row r="74" spans="1:4" s="77" customFormat="1" x14ac:dyDescent="0.25">
      <c r="A74" s="119"/>
      <c r="B74" s="112"/>
      <c r="C74" s="112"/>
      <c r="D74" s="141"/>
    </row>
    <row r="75" spans="1:4" x14ac:dyDescent="0.25">
      <c r="A75" s="124"/>
      <c r="B75" s="125"/>
      <c r="C75" s="125"/>
      <c r="D75" s="133"/>
    </row>
    <row r="76" spans="1:4" x14ac:dyDescent="0.25">
      <c r="A76" s="124"/>
      <c r="B76" s="112"/>
      <c r="C76" s="112"/>
      <c r="D76" s="133"/>
    </row>
    <row r="77" spans="1:4" x14ac:dyDescent="0.25">
      <c r="A77" s="130"/>
      <c r="B77" s="130"/>
      <c r="C77" s="130"/>
      <c r="D77" s="130"/>
    </row>
  </sheetData>
  <sheetProtection sheet="1" objects="1" scenarios="1"/>
  <dataConsolidate/>
  <hyperlinks>
    <hyperlink ref="C3" r:id="rId1"/>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98107A77155143859D0250A35942CC" ma:contentTypeVersion="0" ma:contentTypeDescription="Create a new document." ma:contentTypeScope="" ma:versionID="65683c0513368ee7bb8db450d945cc9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0D36C4-700E-4298-967D-3B42C16716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1945825-9400-4597-8375-FCDD019BFC4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BEAE993C-F6C1-4D3D-A133-7350EF6F2C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141</vt:i4>
      </vt:variant>
    </vt:vector>
  </HeadingPairs>
  <TitlesOfParts>
    <vt:vector size="162" baseType="lpstr">
      <vt:lpstr>Instructions</vt:lpstr>
      <vt:lpstr>Configuration Data</vt:lpstr>
      <vt:lpstr> Downloads </vt:lpstr>
      <vt:lpstr>Configure Media Gateway</vt:lpstr>
      <vt:lpstr>Configure ME - Pre-Staged SW</vt:lpstr>
      <vt:lpstr>Install SP - No Pre-Staged SW</vt:lpstr>
      <vt:lpstr>Upgrade SVM</vt:lpstr>
      <vt:lpstr>Install ME Template</vt:lpstr>
      <vt:lpstr>Configure SAL Access</vt:lpstr>
      <vt:lpstr>License the System (PLDS)</vt:lpstr>
      <vt:lpstr>Apply Application Updates</vt:lpstr>
      <vt:lpstr>Configure System Manager</vt:lpstr>
      <vt:lpstr>Configure Communication Manager</vt:lpstr>
      <vt:lpstr>Configure Presence Server</vt:lpstr>
      <vt:lpstr>Configure High Availability</vt:lpstr>
      <vt:lpstr>Import ABIT users (optional)</vt:lpstr>
      <vt:lpstr>Configure Series-1000 User</vt:lpstr>
      <vt:lpstr>Configure ADVD User</vt:lpstr>
      <vt:lpstr>Configure 1XC SIP User</vt:lpstr>
      <vt:lpstr>Configure AAC SE Integration </vt:lpstr>
      <vt:lpstr>Review Notes</vt:lpstr>
      <vt:lpstr>ADMINPASS</vt:lpstr>
      <vt:lpstr>ADMINPASSCONF</vt:lpstr>
      <vt:lpstr>AES_BASH_PATCH_DNLDID</vt:lpstr>
      <vt:lpstr>AES_BASH_PATCH_FILENAME</vt:lpstr>
      <vt:lpstr>AES_LSU_PATCH_DNLDID</vt:lpstr>
      <vt:lpstr>AES_LSU_PATCH_FILENAME</vt:lpstr>
      <vt:lpstr>AES_LSU_PATCH3_DNLDID</vt:lpstr>
      <vt:lpstr>AES_LSU_PATCH3_FILENAME</vt:lpstr>
      <vt:lpstr>AES_PATCH_DNLDID</vt:lpstr>
      <vt:lpstr>AES_PATCH_FILENAME</vt:lpstr>
      <vt:lpstr>AES_SUPER_PATCH_DNLDID</vt:lpstr>
      <vt:lpstr>AES_SUPER_PATCH_FILENAME</vt:lpstr>
      <vt:lpstr>AESHOSTNAME</vt:lpstr>
      <vt:lpstr>AESIP</vt:lpstr>
      <vt:lpstr>BRIDGEIPADDR</vt:lpstr>
      <vt:lpstr>BRIDGEPILOTMAX</vt:lpstr>
      <vt:lpstr>BRIDGEPILOTMIN</vt:lpstr>
      <vt:lpstr>BRIDGEPILOTNUM</vt:lpstr>
      <vt:lpstr>CDOMFQDN</vt:lpstr>
      <vt:lpstr>CDOMHOSTNAME</vt:lpstr>
      <vt:lpstr>CDOMIP</vt:lpstr>
      <vt:lpstr>CM_KSP_DNLDID</vt:lpstr>
      <vt:lpstr>CM_KSP_FILENAME</vt:lpstr>
      <vt:lpstr>CM_PATCH_DNLDID</vt:lpstr>
      <vt:lpstr>CM_PATCH_FILENAME</vt:lpstr>
      <vt:lpstr>CM_SSP_DNLDID</vt:lpstr>
      <vt:lpstr>CM_SSP_FILENAME</vt:lpstr>
      <vt:lpstr>CMHOSTNAME</vt:lpstr>
      <vt:lpstr>CMIP</vt:lpstr>
      <vt:lpstr>CMM_PATCH_DNLDID</vt:lpstr>
      <vt:lpstr>CMM_PATCH_FILENAME</vt:lpstr>
      <vt:lpstr>COUNTRY</vt:lpstr>
      <vt:lpstr>CUSTPASS</vt:lpstr>
      <vt:lpstr>CUSTPASSCONF</vt:lpstr>
      <vt:lpstr>CUSTPASSWORD</vt:lpstr>
      <vt:lpstr>CUSTUSERNAME</vt:lpstr>
      <vt:lpstr>DHCP_ENDING</vt:lpstr>
      <vt:lpstr>DHCP_STARTING</vt:lpstr>
      <vt:lpstr>DIALPLANLENGTH</vt:lpstr>
      <vt:lpstr>DOMZERODEFGW</vt:lpstr>
      <vt:lpstr>DOMZEROFQDN</vt:lpstr>
      <vt:lpstr>DOMZEROHOSTNAME</vt:lpstr>
      <vt:lpstr>DOMZEROIP</vt:lpstr>
      <vt:lpstr>DOMZERONETMASK</vt:lpstr>
      <vt:lpstr>ENROLLPASSWD</vt:lpstr>
      <vt:lpstr>HTTPSPROXY</vt:lpstr>
      <vt:lpstr>KEYBDTYPE</vt:lpstr>
      <vt:lpstr>LDAPPASS</vt:lpstr>
      <vt:lpstr>LDAPPASSCONF</vt:lpstr>
      <vt:lpstr>LOCATIONNAME</vt:lpstr>
      <vt:lpstr>ME_TEMPLATE_1_FILENAME</vt:lpstr>
      <vt:lpstr>ME_TEMPLATE_2_FILENAME</vt:lpstr>
      <vt:lpstr>ME_TEMPLATE_3_FILENAME</vt:lpstr>
      <vt:lpstr>ME_TEMPLATE_DNLDID_1</vt:lpstr>
      <vt:lpstr>ME_TEMPLATE_DNLDID_2</vt:lpstr>
      <vt:lpstr>ME_TEMPLATE_DNLDID_3</vt:lpstr>
      <vt:lpstr>ME_WIZ_DNLDID</vt:lpstr>
      <vt:lpstr>ME_WIZ_FILENAME</vt:lpstr>
      <vt:lpstr>MEDGATEWAY</vt:lpstr>
      <vt:lpstr>MEDIAGWSERNO</vt:lpstr>
      <vt:lpstr>MEDIAGWTYPE</vt:lpstr>
      <vt:lpstr>MEDIP</vt:lpstr>
      <vt:lpstr>MEDMASK</vt:lpstr>
      <vt:lpstr>NTPSRVRFQDN</vt:lpstr>
      <vt:lpstr>PRIMARYDNSIP</vt:lpstr>
      <vt:lpstr>PS_PATCH1_DNLDID</vt:lpstr>
      <vt:lpstr>PS_PATCH1_FILENAME</vt:lpstr>
      <vt:lpstr>PS_PATCH6202_DNLDID</vt:lpstr>
      <vt:lpstr>PS_PATCH6202_FILENAME</vt:lpstr>
      <vt:lpstr>PS_PATCH62199_DNLDID</vt:lpstr>
      <vt:lpstr>PS_PATCH62199_FILENAME</vt:lpstr>
      <vt:lpstr>PS_ROUTERSERVICENAME</vt:lpstr>
      <vt:lpstr>PS_SP_DNLDID</vt:lpstr>
      <vt:lpstr>PS_SP_FILENAME</vt:lpstr>
      <vt:lpstr>PS6IP</vt:lpstr>
      <vt:lpstr>PSHOSTNAME</vt:lpstr>
      <vt:lpstr>ROOTPASS</vt:lpstr>
      <vt:lpstr>ROOTPASSCONF</vt:lpstr>
      <vt:lpstr>SAL_GW_Patch_DNLDID</vt:lpstr>
      <vt:lpstr>SAL_Service_Pack_DNLDID</vt:lpstr>
      <vt:lpstr>SECONDARYDNSIP</vt:lpstr>
      <vt:lpstr>SIPDOMAIN</vt:lpstr>
      <vt:lpstr>SM_SP_DNLDID</vt:lpstr>
      <vt:lpstr>SM_SP_FILENAME</vt:lpstr>
      <vt:lpstr>SMENTITYIP</vt:lpstr>
      <vt:lpstr>SMGR_PATCH_EXE_FILENAME</vt:lpstr>
      <vt:lpstr>SMGR_SP_DNLDID</vt:lpstr>
      <vt:lpstr>SMGR_SP_FILENAME</vt:lpstr>
      <vt:lpstr>SMGR_SP_PATCH_EXE_DNLDID</vt:lpstr>
      <vt:lpstr>SMGRHOSTNAME</vt:lpstr>
      <vt:lpstr>SMGRIP</vt:lpstr>
      <vt:lpstr>SMGRUSERPW</vt:lpstr>
      <vt:lpstr>SMHOSTNAME</vt:lpstr>
      <vt:lpstr>SMIP</vt:lpstr>
      <vt:lpstr>SNMP_AUTH_PASS</vt:lpstr>
      <vt:lpstr>SNMP_PRIV_PASS</vt:lpstr>
      <vt:lpstr>SNMP_UNPREFIX</vt:lpstr>
      <vt:lpstr>SP_FP4_ISO_FILENAME</vt:lpstr>
      <vt:lpstr>SP_FP4_PATCH_DNLDID</vt:lpstr>
      <vt:lpstr>SP_FP4_PATCH_FILENAME</vt:lpstr>
      <vt:lpstr>SP_ISO_DNLDID</vt:lpstr>
      <vt:lpstr>SP_PATCH_DNLDID</vt:lpstr>
      <vt:lpstr>SP_PATCH_FILENAME</vt:lpstr>
      <vt:lpstr>SP_Patch_SP_Exe_DNLDID</vt:lpstr>
      <vt:lpstr>SPTIMEZONE</vt:lpstr>
      <vt:lpstr>SRVRDOMAIN</vt:lpstr>
      <vt:lpstr>STANBY_DOMZERODOMAIN</vt:lpstr>
      <vt:lpstr>STANDBY_ADMINPASS</vt:lpstr>
      <vt:lpstr>STANDBY_CDOMDOMAIN</vt:lpstr>
      <vt:lpstr>STANDBY_CDOMFQDN</vt:lpstr>
      <vt:lpstr>STANDBY_CDOMHOSTNAME</vt:lpstr>
      <vt:lpstr>STANDBY_CDOMIP</vt:lpstr>
      <vt:lpstr>STANDBY_CUSTPASS</vt:lpstr>
      <vt:lpstr>STANDBY_DOMZERODEFGW</vt:lpstr>
      <vt:lpstr>STANDBY_DOMZEROFQDN</vt:lpstr>
      <vt:lpstr>STANDBY_DOMZEROHOSTNAME</vt:lpstr>
      <vt:lpstr>STANDBY_DOMZEROIP</vt:lpstr>
      <vt:lpstr>STANDBY_DOMZERONETMASK</vt:lpstr>
      <vt:lpstr>STANDBY_KEYBDTYPE</vt:lpstr>
      <vt:lpstr>STANDBY_LDAPPASS</vt:lpstr>
      <vt:lpstr>STANDBY_ROOTPASS</vt:lpstr>
      <vt:lpstr>SVM_DNLDID</vt:lpstr>
      <vt:lpstr>SVM_Filename</vt:lpstr>
      <vt:lpstr>SVM_SANITY_PATCH_DNLDID</vt:lpstr>
      <vt:lpstr>SVM_SANITY_PATCH_FILENAME</vt:lpstr>
      <vt:lpstr>SVM_Service_Pack_DNLDID</vt:lpstr>
      <vt:lpstr>SVM_Service_Pack_filename</vt:lpstr>
      <vt:lpstr>SVMFQDN</vt:lpstr>
      <vt:lpstr>SVMHOSTNAME</vt:lpstr>
      <vt:lpstr>SVMIP</vt:lpstr>
      <vt:lpstr>US_PATCH4_DNLDID</vt:lpstr>
      <vt:lpstr>US_PATCH4_FILENAME</vt:lpstr>
      <vt:lpstr>US_PATCH7_DNLDID</vt:lpstr>
      <vt:lpstr>US_PATCH7_FILENAME</vt:lpstr>
      <vt:lpstr>US_PATCH9_DNLDID</vt:lpstr>
      <vt:lpstr>US_PATCH9_FILENAME</vt:lpstr>
      <vt:lpstr>US_SP_DNLDID</vt:lpstr>
      <vt:lpstr>US_SP_Filename</vt:lpstr>
      <vt:lpstr>USERTIMEZONE</vt:lpstr>
      <vt:lpstr>USHOSTNAME</vt:lpstr>
      <vt:lpstr>USIP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GMI New Solutions Engineer</dc:title>
  <dc:subject>ME Intelligent Workbook</dc:subject>
  <dc:creator>Chuck Rogers</dc:creator>
  <cp:keywords>Template 2580 ME Workbook v1</cp:keywords>
  <cp:lastModifiedBy>kidgell</cp:lastModifiedBy>
  <cp:lastPrinted>2010-07-01T00:16:21Z</cp:lastPrinted>
  <dcterms:created xsi:type="dcterms:W3CDTF">2010-05-11T16:28:17Z</dcterms:created>
  <dcterms:modified xsi:type="dcterms:W3CDTF">2016-06-07T15:36:29Z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0x0101008F98107A77155143859D0250A35942CC</vt:lpwstr>
  </property>
</Properties>
</file>